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24.RELACOES_INVESTIDORES\01.RI\ITRs e DFs\2026\1T26\Documentos para publicar\"/>
    </mc:Choice>
  </mc:AlternateContent>
  <xr:revisionPtr revIDLastSave="0" documentId="13_ncr:1_{C9C7A960-2515-47FA-8849-DB5E12D67669}" xr6:coauthVersionLast="47" xr6:coauthVersionMax="47" xr10:uidLastSave="{00000000-0000-0000-0000-000000000000}"/>
  <bookViews>
    <workbookView xWindow="28680" yWindow="-120" windowWidth="29040" windowHeight="15720" tabRatio="750" activeTab="2" xr2:uid="{2605244C-8D7E-485C-97B6-F6AD7881376A}"/>
  </bookViews>
  <sheets>
    <sheet name="Menu" sheetId="9" r:id="rId1"/>
    <sheet name="Balanço" sheetId="4" r:id="rId2"/>
    <sheet name="DRE" sheetId="3" r:id="rId3"/>
    <sheet name="Carteira de Crédito" sheetId="5" r:id="rId4"/>
    <sheet name="Funding" sheetId="6" r:id="rId5"/>
    <sheet name="Operacionais" sheetId="8" r:id="rId6"/>
    <sheet name="Indicadores" sheetId="7" r:id="rId7"/>
  </sheets>
  <definedNames>
    <definedName name="\B">#REF!</definedName>
    <definedName name="\C">#REF!</definedName>
    <definedName name="\I">#REF!</definedName>
    <definedName name="\K">#REF!</definedName>
    <definedName name="\M">#REF!</definedName>
    <definedName name="\P">#REF!</definedName>
    <definedName name="\W">#REF!</definedName>
    <definedName name="\Z">#REF!</definedName>
    <definedName name="_">#REF!</definedName>
    <definedName name="__" hidden="1">#REF!</definedName>
    <definedName name="_________rv1" hidden="1">{#N/A,#N/A,TRUE,"Ano";#N/A,#N/A,TRUE,"Ene";#N/A,#N/A,TRUE,"Feb";#N/A,#N/A,TRUE,"Mar";#N/A,#N/A,TRUE,"Abr";#N/A,#N/A,TRUE,"May";#N/A,#N/A,TRUE,"Jun";#N/A,#N/A,TRUE,"Jul";#N/A,#N/A,TRUE,"Ago";#N/A,#N/A,TRUE,"Sep";#N/A,#N/A,TRUE,"Oct";#N/A,#N/A,TRUE,"Nov";#N/A,#N/A,TRUE,"Dic"}</definedName>
    <definedName name="______L" hidden="1">{"'OBT_6M_30_6'!$S$1:$AE$53"}</definedName>
    <definedName name="_____L" hidden="1">{"'OBT_6M_30_6'!$S$1:$AE$53"}</definedName>
    <definedName name="____KEY2" hidden="1">#REF!</definedName>
    <definedName name="____L" hidden="1">{"'OBT_6M_30_6'!$S$1:$AE$53"}</definedName>
    <definedName name="____rv1" hidden="1">{#N/A,#N/A,TRUE,"Ano";#N/A,#N/A,TRUE,"Ene";#N/A,#N/A,TRUE,"Feb";#N/A,#N/A,TRUE,"Mar";#N/A,#N/A,TRUE,"Abr";#N/A,#N/A,TRUE,"May";#N/A,#N/A,TRUE,"Jun";#N/A,#N/A,TRUE,"Jul";#N/A,#N/A,TRUE,"Ago";#N/A,#N/A,TRUE,"Sep";#N/A,#N/A,TRUE,"Oct";#N/A,#N/A,TRUE,"Nov";#N/A,#N/A,TRUE,"Dic"}</definedName>
    <definedName name="___KEY2" hidden="1">#REF!</definedName>
    <definedName name="___L" hidden="1">{"'OBT_6M_30_6'!$S$1:$AE$53"}</definedName>
    <definedName name="__1__123Graph_BGRAFICO_8" hidden="1">#REF!</definedName>
    <definedName name="__123Graph_A" hidden="1">#REF!</definedName>
    <definedName name="__123Graph_ABUDGET" hidden="1">#REF!</definedName>
    <definedName name="__123Graph_ACorrente" hidden="1">#REF!</definedName>
    <definedName name="__123Graph_ACURRENT" hidden="1">#REF!</definedName>
    <definedName name="__123Graph_AGERENCIA" hidden="1">#REF!</definedName>
    <definedName name="__123Graph_AMERITO" hidden="1">#REF!</definedName>
    <definedName name="__123Graph_APRIOR" hidden="1">#REF!</definedName>
    <definedName name="__123Graph_B" hidden="1">#REF!</definedName>
    <definedName name="__123Graph_BBUDGET" hidden="1">#REF!</definedName>
    <definedName name="__123Graph_BCorrente" hidden="1">#REF!</definedName>
    <definedName name="__123Graph_BCURRENT" hidden="1">#REF!</definedName>
    <definedName name="__123Graph_BPRIOR" hidden="1">#REF!</definedName>
    <definedName name="__123Graph_C" hidden="1">#REF!</definedName>
    <definedName name="__123Graph_CBUDGET" hidden="1">#REF!</definedName>
    <definedName name="__123Graph_CCorrente" hidden="1">#REF!</definedName>
    <definedName name="__123Graph_CCURRENT" hidden="1">#REF!</definedName>
    <definedName name="__123Graph_CPRIOR" hidden="1">#REF!</definedName>
    <definedName name="__123Graph_D" hidden="1">#REF!</definedName>
    <definedName name="__123Graph_DBUDGET" hidden="1">#REF!</definedName>
    <definedName name="__123Graph_DCorrente" hidden="1">#REF!</definedName>
    <definedName name="__123Graph_DCURRENT" hidden="1">#REF!</definedName>
    <definedName name="__123Graph_DPRIOR" hidden="1">#REF!</definedName>
    <definedName name="__123Graph_E" hidden="1">#REF!</definedName>
    <definedName name="__123Graph_ECorrente" hidden="1">#REF!</definedName>
    <definedName name="__123Graph_F" hidden="1">#REF!</definedName>
    <definedName name="__123Graph_FCorrente" hidden="1">#REF!</definedName>
    <definedName name="__123Graph_X" hidden="1">#REF!</definedName>
    <definedName name="__123Graph_XBUDGET" hidden="1">#REF!</definedName>
    <definedName name="__123Graph_XCURRENT" hidden="1">#REF!</definedName>
    <definedName name="__123Graph_XGERENCIA" hidden="1">#REF!</definedName>
    <definedName name="__123Graph_XMERITO" hidden="1">#REF!</definedName>
    <definedName name="__123Graph_XPRIOR" hidden="1">#REF!</definedName>
    <definedName name="__2__123Graph_LBL_AGRAFICO_8" hidden="1">#REF!</definedName>
    <definedName name="__3__123Graph_LBL_BGRAFICO_8" hidden="1">#REF!</definedName>
    <definedName name="__IntlFixup" hidden="1">TRUE</definedName>
    <definedName name="__Key2" hidden="1">#REF!</definedName>
    <definedName name="__kpi1" hidden="1">{"'OBT_6M_30_6'!$S$1:$AE$53"}</definedName>
    <definedName name="__L" hidden="1">{"'OBT_6M_30_6'!$S$1:$AE$53"}</definedName>
    <definedName name="__N2" hidden="1">{"'OBT_6M_30_6'!$S$1:$AE$53"}</definedName>
    <definedName name="__rv1" hidden="1">{#N/A,#N/A,TRUE,"Ano";#N/A,#N/A,TRUE,"Ene";#N/A,#N/A,TRUE,"Feb";#N/A,#N/A,TRUE,"Mar";#N/A,#N/A,TRUE,"Abr";#N/A,#N/A,TRUE,"May";#N/A,#N/A,TRUE,"Jun";#N/A,#N/A,TRUE,"Jul";#N/A,#N/A,TRUE,"Ago";#N/A,#N/A,TRUE,"Sep";#N/A,#N/A,TRUE,"Oct";#N/A,#N/A,TRUE,"Nov";#N/A,#N/A,TRUE,"Dic"}</definedName>
    <definedName name="__xlfn.RTD" hidden="1">#NAME?</definedName>
    <definedName name="_1__123Graph_BGRAFICO_8" hidden="1">#REF!</definedName>
    <definedName name="_10__123Graph_BGRAFICO_8" hidden="1">#REF!</definedName>
    <definedName name="_10__123Graph_CGRAFICO_1" hidden="1">#REF!</definedName>
    <definedName name="_10__123Graph_LBL_AGRAFICO_8" hidden="1">#REF!</definedName>
    <definedName name="_10__123Graph_LBL_BGRAFICO_8" hidden="1">#REF!</definedName>
    <definedName name="_10_0_0_F" hidden="1">#REF!</definedName>
    <definedName name="_11__123Graph_CGRAFICO_2" hidden="1">#REF!</definedName>
    <definedName name="_11__123Graph_LBL_AGRAFICO_8" hidden="1">#REF!</definedName>
    <definedName name="_11__123Graph_LBL_BGRAFICO_8" hidden="1">#REF!</definedName>
    <definedName name="_11_0_0_F" hidden="1">#REF!</definedName>
    <definedName name="_11F" hidden="1">#REF!</definedName>
    <definedName name="_12__123Graph_DGRAFICO_1" hidden="1">#REF!</definedName>
    <definedName name="_12_0_0_F" hidden="1">#REF!</definedName>
    <definedName name="_12F" hidden="1">#REF!</definedName>
    <definedName name="_13__123Graph_DGRAFICO_2" hidden="1">#REF!</definedName>
    <definedName name="_13__123Graph_LBL_AGRAFICO_8" hidden="1">#REF!</definedName>
    <definedName name="_14__123Graph_EGRAFICO_1" hidden="1">#REF!</definedName>
    <definedName name="_14__123Graph_LBL_BGRAFICO_8" hidden="1">#REF!</definedName>
    <definedName name="_14_0_0_F" hidden="1">#REF!</definedName>
    <definedName name="_15__123Graph_EGRAFICO_2" hidden="1">#REF!</definedName>
    <definedName name="_15__123Graph_LBL_BGRAFICO_8" hidden="1">#REF!</definedName>
    <definedName name="_15_0_0_F" hidden="1">#REF!</definedName>
    <definedName name="_15F" hidden="1">#REF!</definedName>
    <definedName name="_16__123Graph_FGRAFICO_2" hidden="1">#REF!</definedName>
    <definedName name="_16__123Graph_LBL_BGRAFICO_8" hidden="1">#REF!</definedName>
    <definedName name="_16_0_0_F" hidden="1">#REF!</definedName>
    <definedName name="_16F" hidden="1">#REF!</definedName>
    <definedName name="_17__123Graph_XGRAFICO_2" hidden="1">#REF!</definedName>
    <definedName name="_17_0_0_F" hidden="1">#REF!</definedName>
    <definedName name="_17F" hidden="1">#REF!</definedName>
    <definedName name="_18F" hidden="1">#REF!</definedName>
    <definedName name="_19F" hidden="1">#REF!</definedName>
    <definedName name="_1F" hidden="1">#REF!</definedName>
    <definedName name="_2__123Graph_LBL_AGRAFICO_8" hidden="1">#REF!</definedName>
    <definedName name="_2_0_0_F" hidden="1">#REF!</definedName>
    <definedName name="_20_0_0_F" hidden="1">#REF!</definedName>
    <definedName name="_21F" hidden="1">#REF!</definedName>
    <definedName name="_23_0_0_F" hidden="1">#REF!</definedName>
    <definedName name="_24_0_0_F" hidden="1">#REF!</definedName>
    <definedName name="_25_0_0_F" hidden="1">#REF!</definedName>
    <definedName name="_3__123Graph_BGRAFICO_8" hidden="1">#REF!</definedName>
    <definedName name="_3__123Graph_LBL_BGRAFICO_8" hidden="1">#REF!</definedName>
    <definedName name="_30_0_0_F" hidden="1">#REF!</definedName>
    <definedName name="_3F" hidden="1">#REF!</definedName>
    <definedName name="_4__123Graph_BGRAFICO_8" hidden="1">#REF!</definedName>
    <definedName name="_4__123Graph_LBL_AGRAFICO_8" hidden="1">#REF!</definedName>
    <definedName name="_4_0_0_F" hidden="1">#REF!</definedName>
    <definedName name="_4F" hidden="1">#REF!</definedName>
    <definedName name="_5______F" hidden="1">#REF!</definedName>
    <definedName name="_5__123Graph_BGRAFICO_8" hidden="1">#REF!</definedName>
    <definedName name="_5__123Graph_LBL_AGRAFICO_8" hidden="1">#REF!</definedName>
    <definedName name="_5__123Graph_LBL_BGRAFICO_8" hidden="1">#REF!</definedName>
    <definedName name="_5_0_0_F" hidden="1">#REF!</definedName>
    <definedName name="_6__123Graph_AGRAFICO_1" hidden="1">#REF!</definedName>
    <definedName name="_6__123Graph_BGRAFICO_8" hidden="1">#REF!</definedName>
    <definedName name="_6__123Graph_LBL_BGRAFICO_8" hidden="1">#REF!</definedName>
    <definedName name="_6_0_0_F" hidden="1">#REF!</definedName>
    <definedName name="_6F" hidden="1">#REF!</definedName>
    <definedName name="_7__0_0_F" hidden="1">#REF!</definedName>
    <definedName name="_7__123Graph_AGRAFICO_2" hidden="1">#REF!</definedName>
    <definedName name="_7F" hidden="1">#REF!</definedName>
    <definedName name="_8__123Graph_BGRAFICO_1" hidden="1">#REF!</definedName>
    <definedName name="_8__123Graph_BGRAFICO_8" hidden="1">#REF!</definedName>
    <definedName name="_8__123Graph_LBL_AGRAFICO_8" hidden="1">#REF!</definedName>
    <definedName name="_8_0_0_F" hidden="1">#REF!</definedName>
    <definedName name="_8F" hidden="1">#REF!</definedName>
    <definedName name="_9__123Graph_BGRAFICO_2" hidden="1">#REF!</definedName>
    <definedName name="_9__123Graph_BGRAFICO_8" hidden="1">#REF!</definedName>
    <definedName name="_9_0_0_F" hidden="1">#REF!</definedName>
    <definedName name="_9F" hidden="1">#REF!</definedName>
    <definedName name="_a5" hidden="1">#REF!</definedName>
    <definedName name="_a6" hidden="1">#REF!</definedName>
    <definedName name="_a7" hidden="1">#REF!</definedName>
    <definedName name="_a8" hidden="1">#REF!</definedName>
    <definedName name="_a9" hidden="1">#REF!</definedName>
    <definedName name="_all99">#REF!</definedName>
    <definedName name="_com" hidden="1">{"'OBT_6M_30_6'!$S$1:$AE$53"}</definedName>
    <definedName name="_COM1">#REF!</definedName>
    <definedName name="_COM2">#REF!</definedName>
    <definedName name="_COM3">#REF!</definedName>
    <definedName name="_Fill" hidden="1">#REF!</definedName>
    <definedName name="_xlnm._FilterDatabase" hidden="1">#REF!</definedName>
    <definedName name="_Key1" hidden="1">#REF!</definedName>
    <definedName name="_Key2" hidden="1">#REF!</definedName>
    <definedName name="_kpi1" hidden="1">{"'OBT_6M_30_6'!$S$1:$AE$53"}</definedName>
    <definedName name="_L" hidden="1">{"'OBT_6M_30_6'!$S$1:$AE$53"}</definedName>
    <definedName name="_N2" hidden="1">{"'OBT_6M_30_6'!$S$1:$AE$53"}</definedName>
    <definedName name="_oli" hidden="1">#REF!</definedName>
    <definedName name="_oooooooo_123ooooooo" hidden="1">#REF!</definedName>
    <definedName name="_Order1" hidden="1">255</definedName>
    <definedName name="_Order2" hidden="1">255</definedName>
    <definedName name="_r">#REF!</definedName>
    <definedName name="_Regression_Out" hidden="1">#REF!</definedName>
    <definedName name="_Regression_X" hidden="1">#REF!</definedName>
    <definedName name="_Regression_Y" hidden="1">#REF!</definedName>
    <definedName name="_rv1" hidden="1">{#N/A,#N/A,TRUE,"Ano";#N/A,#N/A,TRUE,"Ene";#N/A,#N/A,TRUE,"Feb";#N/A,#N/A,TRUE,"Mar";#N/A,#N/A,TRUE,"Abr";#N/A,#N/A,TRUE,"May";#N/A,#N/A,TRUE,"Jun";#N/A,#N/A,TRUE,"Jul";#N/A,#N/A,TRUE,"Ago";#N/A,#N/A,TRUE,"Sep";#N/A,#N/A,TRUE,"Oct";#N/A,#N/A,TRUE,"Nov";#N/A,#N/A,TRUE,"Dic"}</definedName>
    <definedName name="_sch12">#REF!</definedName>
    <definedName name="_Sort" hidden="1">#REF!</definedName>
    <definedName name="_test" hidden="1">{"'OBT_6M_30_6'!$S$1:$AE$53"}</definedName>
    <definedName name="_ws96">#REF!</definedName>
    <definedName name="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aa" hidden="1">{#N/A,#N/A,TRUE,"SCR-LA 2001";#N/A,#N/A,TRUE,"2001 TOTAL";#N/A,#N/A,TRUE,"2001 Puerto Rico";#N/A,#N/A,TRUE,"2001 Argentina";#N/A,#N/A,TRUE,"2001 Brazil";#N/A,#N/A,TRUE,"2001 Venezuela";#N/A,#N/A,TRUE,"2001 Chile";#N/A,#N/A,TRUE,"2001 Other Latin America"}</definedName>
    <definedName name="aaaa" hidden="1">{#N/A,#N/A,TRUE,"SCR-DCOS 2000";#N/A,#N/A,TRUE,"SCR-DCOS 2001";#N/A,#N/A,TRUE,"SCR-DCOS 2002";#N/A,#N/A,TRUE,"SCR-DCOS 2003"}</definedName>
    <definedName name="AAAA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AAAAAAA" hidden="1">{#N/A,#N/A,FALSE,"Profit Status";#N/A,#N/A,FALSE,"Invest";#N/A,#N/A,FALSE,"Revenue";#N/A,#N/A,FALSE,"Variable Cost";#N/A,#N/A,FALSE,"Options &amp; Series"}</definedName>
    <definedName name="AAAAAAAAA" hidden="1">#REF!</definedName>
    <definedName name="aaaaaaaaaaa" hidden="1">#REF!</definedName>
    <definedName name="AASSD" hidden="1">{"'BGT2001'!$A$1:$AE$112"}</definedName>
    <definedName name="Abril" hidden="1">{"'crono'!$U$12:$W$20"}</definedName>
    <definedName name="Access_Button" hidden="1">"GM0997_Inv_Medios_Motivos_Original__2__Lista"</definedName>
    <definedName name="AccessDatabase" hidden="1">"E:\Affari Legali\Testi\GF\Pareri\Litigation Survey Fiat Group.mdb"</definedName>
    <definedName name="ACCRUAL">#REF!</definedName>
    <definedName name="Actual">#REF!</definedName>
    <definedName name="adsfa" hidden="1">{#N/A,#N/A,TRUE,"SCR-LA 2000";#N/A,#N/A,TRUE,"SCR-LA 2001";#N/A,#N/A,TRUE,"SCR-LA 2002";#N/A,#N/A,TRUE,"SCR-LA 2003"}</definedName>
    <definedName name="AET" hidden="1">{"'BGT2001'!$A$1:$AE$112"}</definedName>
    <definedName name="af_adj_income">#REF!</definedName>
    <definedName name="af_book_equity">#REF!</definedName>
    <definedName name="af_cof">#REF!</definedName>
    <definedName name="af_econ_capital">#REF!</definedName>
    <definedName name="af_net_income">#REF!</definedName>
    <definedName name="af_tax_rate">#REF!</definedName>
    <definedName name="AFs" hidden="1">#REF!</definedName>
    <definedName name="AGXBXBCCC" hidden="1">{"'OBT_6M_30_6'!$S$1:$AE$53"}</definedName>
    <definedName name="AHCXBCVREAOLò" hidden="1">{"'BGT2001'!$A$1:$AE$112"}</definedName>
    <definedName name="AJXNXJDFJF" hidden="1">{"'OBT_6M_30_6'!$S$1:$AE$53"}</definedName>
    <definedName name="all">#REF!</definedName>
    <definedName name="ALV_Modul" hidden="1">{"9D",#N/A,FALSE,"9D"}</definedName>
    <definedName name="ANAGHAGAA" hidden="1">{"'BGT2001'!$A$1:$AE$112"}</definedName>
    <definedName name="ANALVARI" hidden="1">#REF!</definedName>
    <definedName name="anaprensa" hidden="1">#REF!</definedName>
    <definedName name="andam" hidden="1">{"'OBT_6M_30_6'!$S$1:$AE$53"}</definedName>
    <definedName name="anscount" hidden="1">1</definedName>
    <definedName name="a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S2DocOpenMode" hidden="1">"AS2DocumentEdit"</definedName>
    <definedName name="asasd" hidden="1">{"'OBT_6M_30_6'!$S$1:$AE$53"}</definedName>
    <definedName name="ASD" hidden="1">{"'BGT2001'!$A$1:$AE$112"}</definedName>
    <definedName name="ASDASDASDAS" hidden="1">#REF!</definedName>
    <definedName name="ASDCWW" hidden="1">#REF!</definedName>
    <definedName name="asddwecvgtfybhf" hidden="1">#REF!</definedName>
    <definedName name="ASDF" hidden="1">{#N/A,#N/A,FALSE,"BALLANTINE´S ";#N/A,#N/A,FALSE,"FUNDADOR"}</definedName>
    <definedName name="ASDFVG" hidden="1">{"'BGT2001'!$A$1:$AE$112"}</definedName>
    <definedName name="asdvnj" hidden="1">{"'OBT_6M_30_6'!$S$1:$AE$53"}</definedName>
    <definedName name="asfa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sfasf"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SG" hidden="1">{"'BGT2001'!$A$1:$AE$112"}</definedName>
    <definedName name="ASIA_PACIFIC">#REF!</definedName>
    <definedName name="ASJMKVNVHFG" hidden="1">{"'BGT2001'!$A$1:$AE$112"}</definedName>
    <definedName name="ASKDIER" hidden="1">{"'OBT_6M_30_6'!$S$1:$AE$53"}</definedName>
    <definedName name="Asmp.Cons.AsstAnnlFact">#REF!</definedName>
    <definedName name="Asmp.Cons.RevAnnlFact">#REF!</definedName>
    <definedName name="ASRG" hidden="1">{"'BGT2001'!$A$1:$AE$112"}</definedName>
    <definedName name="ass"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ASSSSSS" hidden="1">{"'OBT_6M_30_6'!$S$1:$AE$53"}</definedName>
    <definedName name="ASXASFSDDDDDD" hidden="1">#REF!</definedName>
    <definedName name="au" hidden="1">{"'BGT2001'!$A$1:$AE$112"}</definedName>
    <definedName name="b" hidden="1">{#N/A,#N/A,TRUE,"SCR-LA 2000";#N/A,#N/A,TRUE,"SCR-LA 2001";#N/A,#N/A,TRUE,"SCR-LA 2002";#N/A,#N/A,TRUE,"SCR-LA 2003"}</definedName>
    <definedName name="_xlnm.Database">#REF!</definedName>
    <definedName name="BB"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bcd" hidden="1">{"'BGT2001'!$A$1:$AE$112"}</definedName>
    <definedName name="bcst">#REF!</definedName>
    <definedName name="BCVBCVBCVB" hidden="1">#REF!</definedName>
    <definedName name="bd" hidden="1">{"'BGT2001'!$A$1:$AE$112"}</definedName>
    <definedName name="bdfgvffa" hidden="1">#REF!</definedName>
    <definedName name="Benchmark">#REF!</definedName>
    <definedName name="Benchmark2">#REF!</definedName>
    <definedName name="bhjnhmgmg" hidden="1">#REF!</definedName>
    <definedName name="bla" hidden="1">{"'crono'!$U$12:$W$20"}</definedName>
    <definedName name="BNS_DATA">#REF!</definedName>
    <definedName name="brtsnhtyjh" hidden="1">{"'Janeiro'!$A$1:$I$153"}</definedName>
    <definedName name="BV" hidden="1">{"'crono'!$U$12:$W$20"}</definedName>
    <definedName name="bvfdgre" hidden="1">{"'Janeiro'!$A$1:$I$153"}</definedName>
    <definedName name="By_Line">#REF!</definedName>
    <definedName name="CAIXA" hidden="1">{"'Comercial'!$A$1:$K$258","'Comercial'!$A$1:$K$257"}</definedName>
    <definedName name="CAL">#REF!</definedName>
    <definedName name="calça" hidden="1">{"'Janeiro'!$A$1:$I$153"}</definedName>
    <definedName name="canada">#REF!</definedName>
    <definedName name="CANREC1">#REF!</definedName>
    <definedName name="CANREC2">#REF!</definedName>
    <definedName name="CANREC3">#REF!</definedName>
    <definedName name="CAPIZZI" hidden="1">{"'OBT_6M_30_6'!$S$1:$AE$53"}</definedName>
    <definedName name="CARLSON_DATA">#REF!</definedName>
    <definedName name="carteira">#REF!</definedName>
    <definedName name="cas" hidden="1">{"'Comercial'!$A$1:$K$258","'Comercial'!$A$1:$K$257"}</definedName>
    <definedName name="cazzo" hidden="1">{"'OBT_6M_30_6'!$S$1:$AE$53"}</definedName>
    <definedName name="CBDSGHDDDD" hidden="1">{"'BGT2001'!$A$1:$AE$112"}</definedName>
    <definedName name="CBWorkbookPriority" hidden="1">-836843295</definedName>
    <definedName name="cc" hidden="1">{#N/A,#N/A,TRUE,"Argentina";#N/A,#N/A,TRUE,"Brazil";#N/A,#N/A,TRUE,"Venezuela";#N/A,#N/A,TRUE,"Chile";#N/A,#N/A,TRUE,"Other LA";#N/A,#N/A,TRUE,"Puerto Rico";#N/A,#N/A,TRUE,"Group Office"}</definedName>
    <definedName name="CCCCCCCCC" hidden="1">{"'BGT2001'!$A$1:$AE$112"}</definedName>
    <definedName name="ce_lf_fore" hidden="1">{"'BGT2001'!$A$1:$AE$112"}</definedName>
    <definedName name="cent" hidden="1">{"'Comercial'!$A$1:$K$258","'Comercial'!$A$1:$K$257"}</definedName>
    <definedName name="Center_Number">#REF!</definedName>
    <definedName name="Center_Number_1">#REF!</definedName>
    <definedName name="Center_Number_2">#REF!</definedName>
    <definedName name="cfd" hidden="1">{#N/A,#N/A,FALSE,"Assumptions";#N/A,#N/A,FALSE,"Volumes";#N/A,#N/A,FALSE,"Pricing";#N/A,#N/A,FALSE,"Variable Cost";#N/A,#N/A,FALSE,"Investment";#N/A,#N/A,FALSE,"Profitability";#N/A,#N/A,FALSE,"Business Comparison"}</definedName>
    <definedName name="cfg_adj_income">#REF!</definedName>
    <definedName name="cfg_book_equity">#REF!</definedName>
    <definedName name="cfg_cof">#REF!</definedName>
    <definedName name="cfg_econ_capital">#REF!</definedName>
    <definedName name="cfg_net_income">#REF!</definedName>
    <definedName name="cfg_roe">#REF!</definedName>
    <definedName name="cfg_roec">#REF!</definedName>
    <definedName name="cfg_tax_rate">#REF!</definedName>
    <definedName name="chiu" hidden="1">#REF!</definedName>
    <definedName name="chius" hidden="1">#REF!</definedName>
    <definedName name="chiusura" hidden="1">#REF!</definedName>
    <definedName name="chjtyytj" hidden="1">{"'Janeiro'!$A$1:$I$153"}</definedName>
    <definedName name="CIAO" hidden="1">{"'OBT_6M_30_6'!$S$1:$AE$53"}</definedName>
    <definedName name="ciao2" hidden="1">{"'OBT_6M_30_6'!$S$1:$AE$53"}</definedName>
    <definedName name="CICCIO" hidden="1">{"'OBT_6M_30_6'!$S$1:$AE$53"}</definedName>
    <definedName name="cinema3" hidden="1">{"'Janeiro'!$A$1:$I$153"}</definedName>
    <definedName name="CLAUDINHO" hidden="1">#REF!</definedName>
    <definedName name="cliente">#REF!</definedName>
    <definedName name="clrfokfvbg" hidden="1">{"'OBT_6M_30_6'!$S$1:$AE$53"}</definedName>
    <definedName name="cmm_adj_income">#REF!</definedName>
    <definedName name="cmm_book_equity">#REF!</definedName>
    <definedName name="cmm_cof">#REF!</definedName>
    <definedName name="cmm_econ_capital">#REF!</definedName>
    <definedName name="cmm_net_income">#REF!</definedName>
    <definedName name="cmm_roe">#REF!</definedName>
    <definedName name="cmm_roec">#REF!</definedName>
    <definedName name="cmm_tax_rate">#REF!</definedName>
    <definedName name="cncncn" hidden="1">{"'BGT2001'!$A$1:$AE$112"}</definedName>
    <definedName name="Cnfg.Currency">#REF!</definedName>
    <definedName name="coltpg1997">#REF!</definedName>
    <definedName name="coltpg1998">#REF!</definedName>
    <definedName name="coltpg1999">#REF!</definedName>
    <definedName name="coltpg2000">#REF!</definedName>
    <definedName name="coltpg2001">#REF!</definedName>
    <definedName name="coltpg2002">#REF!</definedName>
    <definedName name="cons_data">#REF!</definedName>
    <definedName name="CONSUN_04" hidden="1">{"'OBT_6M_30_6'!$S$1:$AE$53"}</definedName>
    <definedName name="corp_adj_income">#REF!</definedName>
    <definedName name="corp_book_equity">#REF!</definedName>
    <definedName name="corp_cof">#REF!</definedName>
    <definedName name="corp_econ_capital">#REF!</definedName>
    <definedName name="corp_net_income">#REF!</definedName>
    <definedName name="corp_roe">#REF!</definedName>
    <definedName name="corp_roec">#REF!</definedName>
    <definedName name="corp_tax_rate">#REF!</definedName>
    <definedName name="CRIT1">#REF!</definedName>
    <definedName name="CRIT10">#REF!</definedName>
    <definedName name="CRIT11">#REF!</definedName>
    <definedName name="CRIT12">#REF!</definedName>
    <definedName name="CRIT13">#REF!</definedName>
    <definedName name="CRIT14">#REF!</definedName>
    <definedName name="CRIT15">#REF!</definedName>
    <definedName name="CRIT16">#REF!</definedName>
    <definedName name="CRIT17">#REF!</definedName>
    <definedName name="CRIT18">#REF!</definedName>
    <definedName name="CRIT19">#REF!</definedName>
    <definedName name="CRIT2">#REF!</definedName>
    <definedName name="CRIT20">#REF!</definedName>
    <definedName name="CRIT21">#REF!</definedName>
    <definedName name="CRIT22">#REF!</definedName>
    <definedName name="CRIT23">#REF!</definedName>
    <definedName name="CRIT24">#REF!</definedName>
    <definedName name="CRIT25">#REF!</definedName>
    <definedName name="CRIT26">#REF!</definedName>
    <definedName name="CRIT27">#REF!</definedName>
    <definedName name="CRIT28">#REF!</definedName>
    <definedName name="CRIT29">#REF!</definedName>
    <definedName name="CRIT3">#REF!</definedName>
    <definedName name="CRIT30">#REF!</definedName>
    <definedName name="CRIT31">#REF!</definedName>
    <definedName name="CRIT32">#REF!</definedName>
    <definedName name="CRIT33">#REF!</definedName>
    <definedName name="CRIT34">#REF!</definedName>
    <definedName name="CRIT35">#REF!</definedName>
    <definedName name="CRIT36">#REF!</definedName>
    <definedName name="CRIT37">#REF!</definedName>
    <definedName name="CRIT38">#REF!</definedName>
    <definedName name="CRIT39">#REF!</definedName>
    <definedName name="CRIT4">#REF!</definedName>
    <definedName name="CRIT40">#REF!</definedName>
    <definedName name="CRIT41">#REF!</definedName>
    <definedName name="CRIT42">#REF!</definedName>
    <definedName name="CRIT43">#REF!</definedName>
    <definedName name="CRIT5">#REF!</definedName>
    <definedName name="CRIT6">#REF!</definedName>
    <definedName name="CRIT7">#REF!</definedName>
    <definedName name="CRIT8">#REF!</definedName>
    <definedName name="CRIT9">#REF!</definedName>
    <definedName name="crono" hidden="1">{#N/A,#N/A,TRUE,"XEMTCI";#N/A,#N/A,TRUE,"XMOTDI";#N/A,#N/A,TRUE,"XEMITI"}</definedName>
    <definedName name="CRONOI" hidden="1">{#N/A,#N/A,FALSE,"SP1-OUT";#N/A,#N/A,FALSE,"SP1-NOV";#N/A,#N/A,FALSE,"SANT-OUT";#N/A,#N/A,FALSE,"SANT-NOV";#N/A,#N/A,FALSE,"CAMP-OUT";#N/A,#N/A,FALSE,"CAMP-NOV";#N/A,#N/A,FALSE,"CRONO 1";#N/A,#N/A,FALSE,"CAPA"}</definedName>
    <definedName name="CronoV1" hidden="1">{"'Janeiro'!$A$1:$I$153"}</definedName>
    <definedName name="CURRENT95">#REF!</definedName>
    <definedName name="CURRENTMONTH">#REF!</definedName>
    <definedName name="CVBSGSG" hidden="1">{"'BGT2001'!$A$1:$AE$112"}</definedName>
    <definedName name="CVXCVDFF" hidden="1">#REF!</definedName>
    <definedName name="cx" hidden="1">{#N/A,#N/A,TRUE,"SCR-LA 2001";#N/A,#N/A,TRUE,"2001 TOTAL";#N/A,#N/A,TRUE,"2001 Puerto Rico";#N/A,#N/A,TRUE,"2001 Argentina";#N/A,#N/A,TRUE,"2001 Brazil";#N/A,#N/A,TRUE,"2001 Venezuela";#N/A,#N/A,TRUE,"2001 Chile";#N/A,#N/A,TRUE,"2001 Other Latin America"}</definedName>
    <definedName name="d" hidden="1">{#N/A,#N/A,FALSE,"Sheet1"}</definedName>
    <definedName name="dafkvbkvckvkv" hidden="1">{"'BGT2001'!$A$1:$AE$112"}</definedName>
    <definedName name="daniela"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DAS" hidden="1">{"'BGT2001'!$A$1:$AE$112"}</definedName>
    <definedName name="DASDASDASD" hidden="1">#REF!</definedName>
    <definedName name="DATA">#REF!</definedName>
    <definedName name="Data_base">#REF!</definedName>
    <definedName name="DCOS07" hidden="1">{#N/A,#N/A,TRUE,"Argentina";#N/A,#N/A,TRUE,"Brazil";#N/A,#N/A,TRUE,"Venezuela";#N/A,#N/A,TRUE,"Chile";#N/A,#N/A,TRUE,"Other LA";#N/A,#N/A,TRUE,"Puerto Rico"}</definedName>
    <definedName name="dcos071" hidden="1">{#N/A,#N/A,TRUE,"Argentina";#N/A,#N/A,TRUE,"Brazil";#N/A,#N/A,TRUE,"Venezuela";#N/A,#N/A,TRUE,"Chile";#N/A,#N/A,TRUE,"Other LA";#N/A,#N/A,TRUE,"Puerto Rico"}</definedName>
    <definedName name="dd" hidden="1">{#N/A,#N/A,TRUE,"SCR-DCOS 2001";#N/A,#N/A,TRUE,"SCR-DCOS 2000 Per Unit";#N/A,#N/A,TRUE,"SCR-DCOS 2000-01 Compare";#N/A,#N/A,TRUE,"SCR-DCOS 2002";#N/A,#N/A,TRUE,"Per Unit Comparison";#N/A,#N/A,TRUE,"SCR-DCOS 2001 Per Unit"}</definedName>
    <definedName name="ddd">#REF!</definedName>
    <definedName name="dddd" hidden="1">{#N/A,#N/A,FALSE,"Sheet1"}</definedName>
    <definedName name="ddddd" hidden="1">{"'OBT_6M_30_6'!$S$1:$AE$53"}</definedName>
    <definedName name="DEF_TAX">#REF!</definedName>
    <definedName name="Der_Fin_Ins">#REF!</definedName>
    <definedName name="detroit1">#REF!</definedName>
    <definedName name="detroit2">#REF!</definedName>
    <definedName name="DFFFFF" hidden="1">{"'OBT_6M_30_6'!$S$1:$AE$53"}</definedName>
    <definedName name="DFFFFFFFFFFFFFFFFF" hidden="1">{"'BGT2001'!$A$1:$AE$112"}</definedName>
    <definedName name="dffgkljbnjbjbnu" hidden="1">{"'OBT_6M_30_6'!$S$1:$AE$53"}</definedName>
    <definedName name="dfg" hidden="1">{#N/A,#N/A,FALSE,"Assumptions";#N/A,#N/A,FALSE,"Volumes";#N/A,#N/A,FALSE,"Pricing";#N/A,#N/A,FALSE,"Variable Cost";#N/A,#N/A,FALSE,"Investment";#N/A,#N/A,FALSE,"Profitability";#N/A,#N/A,FALSE,"Business Comparison"}</definedName>
    <definedName name="dfgfghfgjghj" hidden="1">#REF!</definedName>
    <definedName name="dfgsrg" hidden="1">{"'Janeiro'!$A$1:$I$153"}</definedName>
    <definedName name="DFGVBDFGHFGHHHHHHYH" hidden="1">#REF!</definedName>
    <definedName name="dflghlbnmbn" hidden="1">{"'BGT2001'!$A$1:$AE$112"}</definedName>
    <definedName name="dfsgsdfg" hidden="1">{#N/A,#N/A,TRUE,"SCR-LA 2001";#N/A,#N/A,TRUE,"2001 TOTAL";#N/A,#N/A,TRUE,"2001 Puerto Rico";#N/A,#N/A,TRUE,"2001 Argentina";#N/A,#N/A,TRUE,"2001 Brazil";#N/A,#N/A,TRUE,"2001 Venezuela";#N/A,#N/A,TRUE,"2001 Chile";#N/A,#N/A,TRUE,"2001 Other Latin America"}</definedName>
    <definedName name="dfwergdthfgh" hidden="1">#REF!</definedName>
    <definedName name="DGRETR" hidden="1">{"'Janeiro'!$A$1:$I$153"}</definedName>
    <definedName name="difigtreweqwe" hidden="1">{#N/A,#N/A,FALSE,"Profit Status";#N/A,#N/A,FALSE,"Invest";#N/A,#N/A,FALSE,"Revenue";#N/A,#N/A,FALSE,"Variable Cost";#N/A,#N/A,FALSE,"Options &amp; Series"}</definedName>
    <definedName name="dist"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DLL" hidden="1">#REF!</definedName>
    <definedName name="dsdfdf" hidden="1">{"'OBT_6M_30_6'!$S$1:$AE$53"}</definedName>
    <definedName name="dsfcdsfds" hidden="1">{#N/A,#N/A,FALSE,"Profit Status";#N/A,#N/A,FALSE,"Invest";#N/A,#N/A,FALSE,"Revenue";#N/A,#N/A,FALSE,"Variable Cost";#N/A,#N/A,FALSE,"Options &amp; Series"}</definedName>
    <definedName name="dtyioeo" hidden="1">{"'BGT2001'!$A$1:$AE$112"}</definedName>
    <definedName name="dvdz" hidden="1">{#N/A,#N/A,FALSE,"Cover";#N/A,#N/A,FALSE,"Assumptions";#N/A,#N/A,FALSE,"Volumes";#N/A,#N/A,FALSE,"Pricing";#N/A,#N/A,FALSE,"TFLE Walk";#N/A,#N/A,FALSE,"Variable Cost";#N/A,#N/A,FALSE,"Sensitivity";#N/A,#N/A,FALSE,"Investment";#N/A,#N/A,FALSE,"Profitability"}</definedName>
    <definedName name="dxada" hidden="1">#REF!</definedName>
    <definedName name="e" hidden="1">{#N/A,#N/A,TRUE,"Argentina";#N/A,#N/A,TRUE,"Brazil";#N/A,#N/A,TRUE,"Venezuela";#N/A,#N/A,TRUE,"Chile";#N/A,#N/A,TRUE,"Other LA";#N/A,#N/A,TRUE,"Puerto Rico"}</definedName>
    <definedName name="ed" hidden="1">{#N/A,#N/A,TRUE,"SCR-LA 2000";#N/A,#N/A,TRUE,"SCR-LA 2001";#N/A,#N/A,TRUE,"SCR-LA 2002";#N/A,#N/A,TRUE,"SCR-LA 2003"}</definedName>
    <definedName name="edc" hidden="1">{#N/A,#N/A,FALSE,"Assumptions";#N/A,#N/A,FALSE,"Volumes";#N/A,#N/A,FALSE,"Pricing";#N/A,#N/A,FALSE,"Variable Cost";#N/A,#N/A,FALSE,"Investment";#N/A,#N/A,FALSE,"Profitability";#N/A,#N/A,FALSE,"Business Comparison"}</definedName>
    <definedName name="eee" hidden="1">{#N/A,#N/A,FALSE,"Profit Status";#N/A,#N/A,FALSE,"Invest";#N/A,#N/A,FALSE,"Revenue";#N/A,#N/A,FALSE,"Variable Cost";#N/A,#N/A,FALSE,"Options &amp; Series"}</definedName>
    <definedName name="Eldorado" hidden="1">{"'Janeiro'!$A$1:$I$153"}</definedName>
    <definedName name="erfc4rtgregr4gre" hidden="1">#REF!</definedName>
    <definedName name="EUROPE">#REF!</definedName>
    <definedName name="EVIDSVCHVXJ" hidden="1">{"'OBT_6M_30_6'!$S$1:$AE$53"}</definedName>
    <definedName name="ew" hidden="1">{#N/A,#N/A,TRUE,"SCR-LA 2000";#N/A,#N/A,TRUE,"SCR-LA 2001";#N/A,#N/A,TRUE,"SCR-LA 2002";#N/A,#N/A,TRUE,"SCR-LA 2003"}</definedName>
    <definedName name="EWEQW" hidden="1">{"'Janeiro'!$A$1:$I$153"}</definedName>
    <definedName name="EWRCDERTGVBRTYBHTJMYUG" hidden="1">#REF!</definedName>
    <definedName name="Exp_Fin">#REF!</definedName>
    <definedName name="fbdfhdr" hidden="1">{"'Janeiro'!$A$1:$I$153"}</definedName>
    <definedName name="fbhrhbrdtbyeedddd" hidden="1">#REF!</definedName>
    <definedName name="fd" hidden="1">{#N/A,#N/A,TRUE,"SCR-LA 2000";#N/A,#N/A,TRUE,"SCR-LA 2001";#N/A,#N/A,TRUE,"SCR-LA 2002";#N/A,#N/A,TRUE,"SCR-LA 2003"}</definedName>
    <definedName name="fdfdddd" hidden="1">{"'OBT_6M_30_6'!$S$1:$AE$53"}</definedName>
    <definedName name="FDFDFFD" hidden="1">{"'OBT_6M_30_6'!$S$1:$AE$53"}</definedName>
    <definedName name="FDFFFF" hidden="1">{"'OBT_6M_30_6'!$S$1:$AE$53"}</definedName>
    <definedName name="FDFFFFDS" hidden="1">{"'OBT_6M_30_6'!$S$1:$AE$53"}</definedName>
    <definedName name="FDHJVGHCGVV" hidden="1">{"'BGT2001'!$A$1:$AE$112"}</definedName>
    <definedName name="FDSVFGFGD" hidden="1">#REF!</definedName>
    <definedName name="fdvsfgrdghcdrgdsrtgvsd" hidden="1">#REF!</definedName>
    <definedName name="fdygdfgdfsgds" hidden="1">#REF!</definedName>
    <definedName name="fecfgtgggg" hidden="1">#REF!</definedName>
    <definedName name="FEVEREIRO" hidden="1">{"'crono'!$U$12:$W$20"}</definedName>
    <definedName name="ff" hidden="1">{#N/A,#N/A,FALSE,"Sheet1"}</definedName>
    <definedName name="fff">#REF!</definedName>
    <definedName name="fffffff" hidden="1">{"'Janeiro'!$A$1:$I$153"}</definedName>
    <definedName name="fgbrdg" hidden="1">{"'Janeiro'!$A$1:$I$153"}</definedName>
    <definedName name="fgdfg" hidden="1">#REF!</definedName>
    <definedName name="fgesrtwe3rt" hidden="1">{"'Janeiro'!$A$1:$I$153"}</definedName>
    <definedName name="FGFTHRT" hidden="1">{"'Janeiro'!$A$1:$I$153"}</definedName>
    <definedName name="FGGG" hidden="1">{"'BGT2001'!$A$1:$AE$112"}</definedName>
    <definedName name="FGGHG" hidden="1">{"'OBT_6M_30_6'!$S$1:$AE$53"}</definedName>
    <definedName name="fghrtgt" hidden="1">{"'Janeiro'!$A$1:$I$153"}</definedName>
    <definedName name="fgivbjrtmgfp" hidden="1">{"'BGT2001'!$A$1:$AE$112"}</definedName>
    <definedName name="fgk" hidden="1">{"'BGT2001'!$A$1:$AE$112"}</definedName>
    <definedName name="FGRETER" hidden="1">{"'Janeiro'!$A$1:$I$153"}</definedName>
    <definedName name="fgt" hidden="1">{"'BGT2001'!$A$1:$AE$112"}</definedName>
    <definedName name="filna" hidden="1">{"'OBT_6M_30_6'!$S$1:$AE$53"}</definedName>
    <definedName name="fin_adj_income">#REF!</definedName>
    <definedName name="fin_book_equity">#REF!</definedName>
    <definedName name="fin_cof">#REF!</definedName>
    <definedName name="fin_econ_capital">#REF!</definedName>
    <definedName name="fin_net_income">#REF!</definedName>
    <definedName name="fin_tax_rate">#REF!</definedName>
    <definedName name="Finl_Stmts_BS_3_Yr">#REF!</definedName>
    <definedName name="Finl_Stmts_BS_Yr_2">#REF!</definedName>
    <definedName name="Finl_Stmts_BS_Yr_3">#REF!</definedName>
    <definedName name="Finl_Stmts_PandL_3Yr">#REF!</definedName>
    <definedName name="Finl_Stmts_PandL_Yr_2">#REF!</definedName>
    <definedName name="Finl_Stmts_PandL_Yr_3">#REF!</definedName>
    <definedName name="FIRSTQ99">#REF!</definedName>
    <definedName name="FOOTER">#REF!</definedName>
    <definedName name="Footnotes">#REF!</definedName>
    <definedName name="FourthQ99">#REF!</definedName>
    <definedName name="fsd" hidden="1">{#N/A,#N/A,TRUE,"Argentina";#N/A,#N/A,TRUE,"Brazil";#N/A,#N/A,TRUE,"Venezuela";#N/A,#N/A,TRUE,"Chile";#N/A,#N/A,TRUE,"Other LA";#N/A,#N/A,TRUE,"Puerto Rico"}</definedName>
    <definedName name="fsdgsdfg" hidden="1">{#N/A,#N/A,TRUE,"Argentina";#N/A,#N/A,TRUE,"Brazil";#N/A,#N/A,TRUE,"Venezuela";#N/A,#N/A,TRUE,"Chile";#N/A,#N/A,TRUE,"Other LA";#N/A,#N/A,TRUE,"Puerto Rico"}</definedName>
    <definedName name="fsdsfdgvdgdhrthbrjhr" hidden="1">#REF!</definedName>
    <definedName name="fsggdfg" hidden="1">{#N/A,#N/A,TRUE,"SCR-LA 2000";#N/A,#N/A,TRUE,"SCR-LA 2001";#N/A,#N/A,TRUE,"SCR-LA 2002";#N/A,#N/A,TRUE,"SCR-LA 2003"}</definedName>
    <definedName name="FTNYHFJKM" hidden="1">#REF!</definedName>
    <definedName name="fur" hidden="1">{"'BGT2001'!$A$1:$AE$112"}</definedName>
    <definedName name="fvdfgdhnfhn" hidden="1">#REF!</definedName>
    <definedName name="fverg" hidden="1">{"'Janeiro'!$A$1:$I$153"}</definedName>
    <definedName name="fweafwaef" hidden="1">{"'Janeiro'!$A$1:$I$153"}</definedName>
    <definedName name="g_ins_prod1_desc">#REF!</definedName>
    <definedName name="g_ins_prod2_desc">#REF!</definedName>
    <definedName name="g_ins_prod3_desc">#REF!</definedName>
    <definedName name="g_ins_prod4_desc">#REF!</definedName>
    <definedName name="g_ins_prod5_desc">#REF!</definedName>
    <definedName name="g_ins_prod6_desc">#REF!</definedName>
    <definedName name="G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ga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GBFDGBHFGH" hidden="1">#REF!</definedName>
    <definedName name="gcrrthhhhh" hidden="1">#REF!</definedName>
    <definedName name="GDFGDFGDF" hidden="1">#REF!</definedName>
    <definedName name="GDFGDFGDFGDF" hidden="1">#REF!</definedName>
    <definedName name="gdsfgsd" hidden="1">{#N/A,#N/A,TRUE,"SCR-LA 2001";#N/A,#N/A,TRUE,"2001 TOTAL";#N/A,#N/A,TRUE,"2001 Puerto Rico";#N/A,#N/A,TRUE,"2001 Argentina";#N/A,#N/A,TRUE,"2001 Brazil";#N/A,#N/A,TRUE,"2001 Venezuela";#N/A,#N/A,TRUE,"2001 Chile";#N/A,#N/A,TRUE,"2001 Other Latin America"}</definedName>
    <definedName name="gestw3" hidden="1">{"'Janeiro'!$A$1:$I$153"}</definedName>
    <definedName name="gf" hidden="1">{#N/A,#N/A,TRUE,"SCR-LA 2001";#N/A,#N/A,TRUE,"2001 TOTAL";#N/A,#N/A,TRUE,"2001 Puerto Rico";#N/A,#N/A,TRUE,"2001 Argentina";#N/A,#N/A,TRUE,"2001 Brazil";#N/A,#N/A,TRUE,"2001 Venezuela";#N/A,#N/A,TRUE,"2001 Chile";#N/A,#N/A,TRUE,"2001 Other Latin America"}</definedName>
    <definedName name="gfggfdgadfg" hidden="1">{"'Janeiro'!$A$1:$I$153"}</definedName>
    <definedName name="gfsd" hidden="1">{#N/A,#N/A,TRUE,"2001 TOTAL";#N/A,#N/A,TRUE,"2001 Argentina";#N/A,#N/A,TRUE,"2001 Brazil";#N/A,#N/A,TRUE,"2001 Venezuela";#N/A,#N/A,TRUE,"2001 Chile";#N/A,#N/A,TRUE,"2001 Other Latin America";#N/A,#N/A,TRUE,"2001 Puerto Rico"}</definedName>
    <definedName name="gfsdgsadf" hidden="1">{#N/A,#N/A,TRUE,"SCR-LA 2000";#N/A,#N/A,TRUE,"SCR-LA 2001";#N/A,#N/A,TRUE,"SCR-LA 2002";#N/A,#N/A,TRUE,"SCR-LA 2003"}</definedName>
    <definedName name="gg" hidden="1">{#N/A,#N/A,FALSE,"Exec 2000";#N/A,#N/A,FALSE,"Exec 2001";#N/A,#N/A,FALSE,"Exec Comparison"}</definedName>
    <definedName name="GGG" hidden="1">{"'BGT2001'!$A$1:$AE$112"}</definedName>
    <definedName name="GGGG" hidden="1">#REF!</definedName>
    <definedName name="GGGGG"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ggggggg" hidden="1">{"'OBT_6M_30_6'!$S$1:$AE$53"}</definedName>
    <definedName name="gggggggggggggggg" hidden="1">{"'Janeiro'!$A$1:$I$153"}</definedName>
    <definedName name="gghhhhttt" hidden="1">#REF!</definedName>
    <definedName name="ghd" hidden="1">{#N/A,#N/A,TRUE,"SCR-LA 2000";#N/A,#N/A,TRUE,"SCR-LA 2001";#N/A,#N/A,TRUE,"SCR-LA 2002";#N/A,#N/A,TRUE,"SCR-LA 2003"}</definedName>
    <definedName name="GHFFSF" hidden="1">{"'BGT2001'!$A$1:$AE$112"}</definedName>
    <definedName name="GHJFGBJBVFYBTY" hidden="1">#REF!</definedName>
    <definedName name="gii" hidden="1">{"'OBT_6M_30_6'!$S$1:$AE$53"}</definedName>
    <definedName name="GIRC2" hidden="1">#REF!</definedName>
    <definedName name="gllgl" hidden="1">{#N/A,#N/A,FALSE,"Assumptions";#N/A,#N/A,FALSE,"Volumes";#N/A,#N/A,FALSE,"Pricing";#N/A,#N/A,FALSE,"Variable Cost";#N/A,#N/A,FALSE,"Investment";#N/A,#N/A,FALSE,"Profitability";#N/A,#N/A,FALSE,"Business Comparison"}</definedName>
    <definedName name="glòlòg" hidden="1">{#N/A,#N/A,FALSE,"Assumptions";#N/A,#N/A,FALSE,"Volumes";#N/A,#N/A,FALSE,"Pricing";#N/A,#N/A,FALSE,"Variable Cost";#N/A,#N/A,FALSE,"Investment";#N/A,#N/A,FALSE,"Profitability";#N/A,#N/A,FALSE,"Business Comparison"}</definedName>
    <definedName name="gmac_adj_income">#REF!</definedName>
    <definedName name="gmac_book_equity">#REF!</definedName>
    <definedName name="gmac_cof">#REF!</definedName>
    <definedName name="gmac_econ_capital">#REF!</definedName>
    <definedName name="gmac_net_income">#REF!</definedName>
    <definedName name="gmac_roe">#REF!</definedName>
    <definedName name="GMAC_ROEC">#REF!</definedName>
    <definedName name="gmac_tax_rate">#REF!</definedName>
    <definedName name="gnfhg" hidden="1">{"'Janeiro'!$A$1:$I$153"}</definedName>
    <definedName name="Grafico" hidden="1">{"'BGT2001'!$A$1:$AE$112"}</definedName>
    <definedName name="GRAFICO1" hidden="1">#REF!</definedName>
    <definedName name="GRAFICO2" hidden="1">#REF!</definedName>
    <definedName name="grthrthdt" hidden="1">#REF!</definedName>
    <definedName name="gsdfgsd" hidden="1">{#N/A,#N/A,TRUE,"SCR-LA 2000";#N/A,#N/A,TRUE,"SCR-LA 2001";#N/A,#N/A,TRUE,"SCR-LA 2002";#N/A,#N/A,TRUE,"SCR-LA 2003"}</definedName>
    <definedName name="gsdfgsfd" hidden="1">{#N/A,#N/A,TRUE,"Argentina";#N/A,#N/A,TRUE,"Brazil";#N/A,#N/A,TRUE,"Venezuela";#N/A,#N/A,TRUE,"Chile";#N/A,#N/A,TRUE,"Other LA";#N/A,#N/A,TRUE,"Puerto Rico"}</definedName>
    <definedName name="gsertgae" hidden="1">{#N/A,#N/A,TRUE,"2001 TOTAL";#N/A,#N/A,TRUE,"2001 Argentina";#N/A,#N/A,TRUE,"2001 Brazil";#N/A,#N/A,TRUE,"2001 Venezuela";#N/A,#N/A,TRUE,"2001 Chile";#N/A,#N/A,TRUE,"2001 Other Latin America";#N/A,#N/A,TRUE,"2001 Puerto Rico"}</definedName>
    <definedName name="gt" hidden="1">{#N/A,#N/A,TRUE,"SCR-LA 2000";#N/A,#N/A,TRUE,"SCR-LA 2001";#N/A,#N/A,TRUE,"SCR-LA 2002";#N/A,#N/A,TRUE,"SCR-LA 2003"}</definedName>
    <definedName name="guido" hidden="1">{"'OBT_6M_30_6'!$S$1:$AE$53"}</definedName>
    <definedName name="guigui" hidden="1">#REF!</definedName>
    <definedName name="GVDFGB" hidden="1">#REF!</definedName>
    <definedName name="gvrthrhre" hidden="1">#REF!</definedName>
    <definedName name="gzdfgzd" hidden="1">{#N/A,#N/A,TRUE,"SCR-LA 2000";#N/A,#N/A,TRUE,"SCR-LA 2001";#N/A,#N/A,TRUE,"SCR-LA 2002";#N/A,#N/A,TRUE,"SCR-LA 2003"}</definedName>
    <definedName name="h" hidden="1">{#N/A,#N/A,TRUE,"SCR-LA 2000";#N/A,#N/A,TRUE,"SCR-LA 2001";#N/A,#N/A,TRUE,"SCR-LA 2002";#N/A,#N/A,TRUE,"SCR-LA 2003"}</definedName>
    <definedName name="hg" hidden="1">{#N/A,#N/A,TRUE,"SCR-LA 2000";#N/A,#N/A,TRUE,"SCR-LA 2001";#N/A,#N/A,TRUE,"SCR-LA 2002";#N/A,#N/A,TRUE,"SCR-LA 2003"}</definedName>
    <definedName name="hgdf" hidden="1">{#N/A,#N/A,TRUE,"2001 TOTAL";#N/A,#N/A,TRUE,"2001 Argentina";#N/A,#N/A,TRUE,"2001 Brazil";#N/A,#N/A,TRUE,"2001 Venezuela";#N/A,#N/A,TRUE,"2001 Chile";#N/A,#N/A,TRUE,"2001 Other Latin America";#N/A,#N/A,TRUE,"2001 Puerto Rico"}</definedName>
    <definedName name="hgf" hidden="1">{#N/A,#N/A,TRUE,"SCR-LA 2000";#N/A,#N/A,TRUE,"SCR-LA 2001";#N/A,#N/A,TRUE,"SCR-LA 2002";#N/A,#N/A,TRUE,"SCR-LA 2003"}</definedName>
    <definedName name="hgfs" hidden="1">{#N/A,#N/A,TRUE,"Argentina";#N/A,#N/A,TRUE,"Brazil";#N/A,#N/A,TRUE,"Venezuela";#N/A,#N/A,TRUE,"Chile";#N/A,#N/A,TRUE,"Other LA";#N/A,#N/A,TRUE,"Puerto Rico"}</definedName>
    <definedName name="hgsfs" hidden="1">{#N/A,#N/A,TRUE,"2001 TOTAL";#N/A,#N/A,TRUE,"2001 Argentina";#N/A,#N/A,TRUE,"2001 Brazil";#N/A,#N/A,TRUE,"2001 Venezuela";#N/A,#N/A,TRUE,"2001 Chile";#N/A,#N/A,TRUE,"2001 Other Latin America";#N/A,#N/A,TRUE,"2001 Puerto Rico"}</definedName>
    <definedName name="hh" hidden="1">{"'Janeiro'!$A$1:$I$153"}</definedName>
    <definedName name="hhhhh" hidden="1">#REF!</definedName>
    <definedName name="hhhhhh" hidden="1">#REF!</definedName>
    <definedName name="hjnghjghj" hidden="1">{"'Janeiro'!$A$1:$I$153"}</definedName>
    <definedName name="HLTVhpi">#REF!</definedName>
    <definedName name="hola1" hidden="1">{#N/A,#N/A,FALSE,"BALLANTINE´S ";#N/A,#N/A,FALSE,"FUNDADOR"}</definedName>
    <definedName name="hs" hidden="1">{#N/A,#N/A,TRUE,"SCR-LA 2000";#N/A,#N/A,TRUE,"SCR-LA 2001";#N/A,#N/A,TRUE,"SCR-LA 2002";#N/A,#N/A,TRUE,"SCR-LA 2003"}</definedName>
    <definedName name="hs_metric">#REF!</definedName>
    <definedName name="HTML_CodePage" hidden="1">1252</definedName>
    <definedName name="HTML_Control" hidden="1">{"'OBT_6M_30_6'!$S$1:$AE$53"}</definedName>
    <definedName name="HTML_Description" hidden="1">""</definedName>
    <definedName name="HTML_Email" hidden="1">""</definedName>
    <definedName name="HTML_Header" hidden="1">"BGT2001"</definedName>
    <definedName name="HTML_LastUpdate" hidden="1">"07/09/00"</definedName>
    <definedName name="HTML_LineAfter" hidden="1">FALSE</definedName>
    <definedName name="HTML_LineBefore" hidden="1">FALSE</definedName>
    <definedName name="HTML_Name" hidden="1">"Dsst"</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_Title" hidden="1">"1TABELLABGT2001"</definedName>
    <definedName name="HTML1_1" hidden="1">"[OBT_6M.XLS]OBT_6M!$B$5:$S$48"</definedName>
    <definedName name="HTML1_10" hidden="1">""</definedName>
    <definedName name="HTML1_11" hidden="1">1</definedName>
    <definedName name="HTML1_12" hidden="1">"C:\WEB\EXCEL\ASS_PROD\MyHTMLx.htm"</definedName>
    <definedName name="HTML1_2" hidden="1">-4146</definedName>
    <definedName name="HTML1_3" hidden="1">"C:\WEB\EXCEL\ASS_PROD\HTMLTemp.htm"</definedName>
    <definedName name="HTML1_4" hidden="1">"Income I"</definedName>
    <definedName name="HTML1_5" hidden="1">""</definedName>
    <definedName name="HTML1_6" hidden="1">-4146</definedName>
    <definedName name="HTML1_7" hidden="1">-4146</definedName>
    <definedName name="HTML1_8" hidden="1">"02/09/97"</definedName>
    <definedName name="HTML1_9" hidden="1">"Fernando S. Ribeiro"</definedName>
    <definedName name="HTML2_1" hidden="1">"[OBT_6M_1.XLS]OBT_6M_sem!$B$5:$M$51"</definedName>
    <definedName name="HTML2_10" hidden="1">""</definedName>
    <definedName name="HTML2_11" hidden="1">1</definedName>
    <definedName name="HTML2_12" hidden="1">"C:\WEB\EXCEL\STK_ANZ\ANZ_6M.HTM"</definedName>
    <definedName name="HTML2_2" hidden="1">-4146</definedName>
    <definedName name="HTML2_3" hidden="1">"C:\WEB\EXCEL\STK_ANZ\HTMLTEMP.HTM"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"'[CART0497.XLS]Ct Intranet'!$A$1:$M$61"</definedName>
    <definedName name="HTML3_10" hidden="1">""</definedName>
    <definedName name="HTML3_11" hidden="1">1</definedName>
    <definedName name="HTML3_12" hidden="1">"F:\ABRILNET\TRANSPOR\Ctplj.htm"</definedName>
    <definedName name="HTML3_2" hidden="1">1</definedName>
    <definedName name="HTML3_3" hidden="1">"Carta de Planejamento"</definedName>
    <definedName name="HTML3_4" hidden="1">"Carta de Planejamento"</definedName>
    <definedName name="HTML3_5" hidden="1">""</definedName>
    <definedName name="HTML3_6" hidden="1">-4146</definedName>
    <definedName name="HTML3_7" hidden="1">-4146</definedName>
    <definedName name="HTML3_8" hidden="1">""</definedName>
    <definedName name="HTML3_9" hidden="1">""</definedName>
    <definedName name="HTML4_1" hidden="1">"'[CART0497.XLS]Ct Intranet'!$A$1:$M$53"</definedName>
    <definedName name="HTML4_10" hidden="1">""</definedName>
    <definedName name="HTML4_11" hidden="1">1</definedName>
    <definedName name="HTML4_12" hidden="1">"F:\ABRILNET\TRANSPOR\ctplj.htm"</definedName>
    <definedName name="HTML4_2" hidden="1">1</definedName>
    <definedName name="HTML4_3" hidden="1">"Carta de Planejamento"</definedName>
    <definedName name="HTML4_4" hidden="1">"Carta de Planejamento"</definedName>
    <definedName name="HTML4_5" hidden="1">""</definedName>
    <definedName name="HTML4_6" hidden="1">-4146</definedName>
    <definedName name="HTML4_7" hidden="1">-4146</definedName>
    <definedName name="HTML4_8" hidden="1">""</definedName>
    <definedName name="HTML4_9" hidden="1">""</definedName>
    <definedName name="HTMLCount" hidden="1">2</definedName>
    <definedName name="htyhrht" hidden="1">{"'Janeiro'!$A$1:$I$153"}</definedName>
    <definedName name="hxgfn" hidden="1">{#N/A,#N/A,TRUE,"2001 TOTAL";#N/A,#N/A,TRUE,"2001 Argentina";#N/A,#N/A,TRUE,"2001 Brazil";#N/A,#N/A,TRUE,"2001 Venezuela";#N/A,#N/A,TRUE,"2001 Chile";#N/A,#N/A,TRUE,"2001 Other Latin America";#N/A,#N/A,TRUE,"2001 Puerto Rico"}</definedName>
    <definedName name="hy" hidden="1">{#N/A,#N/A,TRUE,"SCR-LA 2000";#N/A,#N/A,TRUE,"SCR-LA 2001";#N/A,#N/A,TRUE,"SCR-LA 2002";#N/A,#N/A,TRUE,"SCR-LA 2003"}</definedName>
    <definedName name="hythjytjh" hidden="1">{"'Janeiro'!$A$1:$I$153"}</definedName>
    <definedName name="i"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iejvcuirfdhjf" hidden="1">{"'BGT2001'!$A$1:$AE$112"}</definedName>
    <definedName name="INCSTA_FRAIKIN" hidden="1">{"'BGT2001'!$A$1:$AE$112"}</definedName>
    <definedName name="INODCS" hidden="1">{#N/A,#N/A,FALSE,"BALLANTINE´S ";#N/A,#N/A,FALSE,"FUNDADOR"}</definedName>
    <definedName name="INPUT">#REF!</definedName>
    <definedName name="ins_adj_income">#REF!</definedName>
    <definedName name="ins_book_equity">#REF!</definedName>
    <definedName name="ins_cof">#REF!</definedName>
    <definedName name="ins_econ_capital">#REF!</definedName>
    <definedName name="ins_net_income">#REF!</definedName>
    <definedName name="ins_roe">#REF!</definedName>
    <definedName name="ins_roec">#REF!</definedName>
    <definedName name="ins_tax_rate">#REF!</definedName>
    <definedName name="Inv_Op_Lease">#REF!</definedName>
    <definedName name="Inv_Sec">#REF!</definedName>
    <definedName name="Io_adj_income">#REF!</definedName>
    <definedName name="Io_book_equity">#REF!</definedName>
    <definedName name="Io_cof">#REF!</definedName>
    <definedName name="Io_econ_capital">#REF!</definedName>
    <definedName name="Io_net_income">#REF!</definedName>
    <definedName name="Io_roe">#REF!</definedName>
    <definedName name="Io_roec">#REF!</definedName>
    <definedName name="Io_tax_rate">#REF!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42297.4272916667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39124.5964699074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ISBUSX3" hidden="1">{"'BGT2001'!$A$1:$AE$112"}</definedName>
    <definedName name="irooru" hidden="1">{"'BGT2001'!$A$1:$AE$112"}</definedName>
    <definedName name="iu" hidden="1">{#N/A,#N/A,TRUE,"Argentina";#N/A,#N/A,TRUE,"Brazil";#N/A,#N/A,TRUE,"Venezuela";#N/A,#N/A,TRUE,"Chile";#N/A,#N/A,TRUE,"Other LA";#N/A,#N/A,TRUE,"Puerto Rico"}</definedName>
    <definedName name="Iveco1" hidden="1">{"'BGT2001'!$A$1:$AE$112"}</definedName>
    <definedName name="Iveco2" hidden="1">{"'BGT2001'!$A$1:$AE$112"}</definedName>
    <definedName name="Iveco3" hidden="1">{"'BGT2001'!$A$1:$AE$112"}</definedName>
    <definedName name="Jan_2004">#REF!</definedName>
    <definedName name="Janeiro" hidden="1">{"'Janeiro'!$A$1:$I$153"}</definedName>
    <definedName name="jdfh" hidden="1">{#N/A,#N/A,TRUE,"2001 TOTAL";#N/A,#N/A,TRUE,"2001 Argentina";#N/A,#N/A,TRUE,"2001 Brazil";#N/A,#N/A,TRUE,"2001 Venezuela";#N/A,#N/A,TRUE,"2001 Chile";#N/A,#N/A,TRUE,"2001 Other Latin America";#N/A,#N/A,TRUE,"2001 Puerto Rico"}</definedName>
    <definedName name="jh" hidden="1">{#N/A,#N/A,TRUE,"2001 TOTAL";#N/A,#N/A,TRUE,"2001 Argentina";#N/A,#N/A,TRUE,"2001 Brazil";#N/A,#N/A,TRUE,"2001 Venezuela";#N/A,#N/A,TRUE,"2001 Chile";#N/A,#N/A,TRUE,"2001 Other Latin America";#N/A,#N/A,TRUE,"2001 Puerto Rico"}</definedName>
    <definedName name="jhdffg" hidden="1">{#N/A,#N/A,TRUE,"SCR-LA 2000";#N/A,#N/A,TRUE,"SCR-LA 2001";#N/A,#N/A,TRUE,"SCR-LA 2002";#N/A,#N/A,TRUE,"SCR-LA 2003"}</definedName>
    <definedName name="jhdgh" hidden="1">{#N/A,#N/A,TRUE,"SCR-LA 2001";#N/A,#N/A,TRUE,"2001 TOTAL";#N/A,#N/A,TRUE,"2001 Puerto Rico";#N/A,#N/A,TRUE,"2001 Argentina";#N/A,#N/A,TRUE,"2001 Brazil";#N/A,#N/A,TRUE,"2001 Venezuela";#N/A,#N/A,TRUE,"2001 Chile";#N/A,#N/A,TRUE,"2001 Other Latin America"}</definedName>
    <definedName name="jhfg" hidden="1">{#N/A,#N/A,TRUE,"2001 TOTAL";#N/A,#N/A,TRUE,"2001 Argentina";#N/A,#N/A,TRUE,"2001 Brazil";#N/A,#N/A,TRUE,"2001 Venezuela";#N/A,#N/A,TRUE,"2001 Chile";#N/A,#N/A,TRUE,"2001 Other Latin America";#N/A,#N/A,TRUE,"2001 Puerto Rico"}</definedName>
    <definedName name="jhgd" hidden="1">{#N/A,#N/A,TRUE,"SCR-LA 2001";#N/A,#N/A,TRUE,"2001 TOTAL";#N/A,#N/A,TRUE,"2001 Puerto Rico";#N/A,#N/A,TRUE,"2001 Argentina";#N/A,#N/A,TRUE,"2001 Brazil";#N/A,#N/A,TRUE,"2001 Venezuela";#N/A,#N/A,TRUE,"2001 Chile";#N/A,#N/A,TRUE,"2001 Other Latin America"}</definedName>
    <definedName name="jhythrth" hidden="1">{"'Janeiro'!$A$1:$I$153"}</definedName>
    <definedName name="jjjjjj" hidden="1">{"'OBT_6M_30_6'!$S$1:$AE$53"}</definedName>
    <definedName name="JòJMòJ" hidden="1">{"'BGT2001'!$A$1:$AE$112"}</definedName>
    <definedName name="jrescisão" hidden="1">{"'crono'!$U$12:$W$20"}</definedName>
    <definedName name="jsrthdf" hidden="1">{#N/A,#N/A,TRUE,"SCR-LA 2000";#N/A,#N/A,TRUE,"SCR-LA 2001";#N/A,#N/A,TRUE,"SCR-LA 2002";#N/A,#N/A,TRUE,"SCR-LA 2003"}</definedName>
    <definedName name="jtjtyj" hidden="1">{"'Janeiro'!$A$1:$I$153"}</definedName>
    <definedName name="jtr" hidden="1">{#N/A,#N/A,TRUE,"SCR-LA 2000";#N/A,#N/A,TRUE,"SCR-LA 2001";#N/A,#N/A,TRUE,"SCR-LA 2002";#N/A,#N/A,TRUE,"SCR-LA 2003"}</definedName>
    <definedName name="jtymyukymum" hidden="1">#REF!</definedName>
    <definedName name="ju" hidden="1">{#N/A,#N/A,TRUE,"SCR-LA 2001";#N/A,#N/A,TRUE,"2001 TOTAL";#N/A,#N/A,TRUE,"2001 Puerto Rico";#N/A,#N/A,TRUE,"2001 Argentina";#N/A,#N/A,TRUE,"2001 Brazil";#N/A,#N/A,TRUE,"2001 Venezuela";#N/A,#N/A,TRUE,"2001 Chile";#N/A,#N/A,TRUE,"2001 Other Latin America"}</definedName>
    <definedName name="JV">#REF!</definedName>
    <definedName name="jyujyuiju" hidden="1">{"'Janeiro'!$A$1:$I$153"}</definedName>
    <definedName name="khhkkhk" hidden="1">{#N/A,#N/A,FALSE,"Profit Status";#N/A,#N/A,FALSE,"Invest";#N/A,#N/A,FALSE,"Revenue";#N/A,#N/A,FALSE,"Variable Cost";#N/A,#N/A,FALSE,"Options &amp; Series"}</definedName>
    <definedName name="khmnk" hidden="1">#REF!</definedName>
    <definedName name="ki" hidden="1">{#N/A,#N/A,TRUE,"SCR-LA 2000";#N/A,#N/A,TRUE,"SCR-LA 2001";#N/A,#N/A,TRUE,"SCR-LA 2002";#N/A,#N/A,TRUE,"SCR-LA 2003"}</definedName>
    <definedName name="kj" hidden="1">{#N/A,#N/A,TRUE,"Argentina";#N/A,#N/A,TRUE,"Brazil";#N/A,#N/A,TRUE,"Venezuela";#N/A,#N/A,TRUE,"Chile";#N/A,#N/A,TRUE,"Other LA";#N/A,#N/A,TRUE,"Puerto Rico"}</definedName>
    <definedName name="kjashdkjhFDAK" hidden="1">{"'Sheet1'!$J$12","'Sheet1'!$F$8"}</definedName>
    <definedName name="KJBMBMBN" hidden="1">{"'OBT_6M_30_6'!$S$1:$AE$53"}</definedName>
    <definedName name="kjf" hidden="1">{#N/A,#N/A,TRUE,"SCR-LA 2000";#N/A,#N/A,TRUE,"SCR-LA 2001";#N/A,#N/A,TRUE,"SCR-LA 2002";#N/A,#N/A,TRUE,"SCR-LA 2003"}</definedName>
    <definedName name="kjkk" hidden="1">{"'BGT2001'!$A$1:$AE$112"}</definedName>
    <definedName name="klgòlòbl" hidden="1">{#N/A,#N/A,FALSE,"Cover";#N/A,#N/A,FALSE,"Assumptions";#N/A,#N/A,FALSE,"Volumes";#N/A,#N/A,FALSE,"Pricing";#N/A,#N/A,FALSE,"TFLE Walk";#N/A,#N/A,FALSE,"Variable Cost";#N/A,#N/A,FALSE,"Sensitivity";#N/A,#N/A,FALSE,"Investment";#N/A,#N/A,FALSE,"Profitability"}</definedName>
    <definedName name="KPI" hidden="1">#REF!</definedName>
    <definedName name="KRIFGNVBG" hidden="1">{"'OBT_6M_30_6'!$S$1:$AE$53"}</definedName>
    <definedName name="kuf" hidden="1">{#N/A,#N/A,TRUE,"SCR-LA 2000";#N/A,#N/A,TRUE,"SCR-LA 2001";#N/A,#N/A,TRUE,"SCR-LA 2002";#N/A,#N/A,TRUE,"SCR-LA 2003"}</definedName>
    <definedName name="kyukyuk" hidden="1">{"'Janeiro'!$A$1:$I$153"}</definedName>
    <definedName name="LATIN_AMERICA">#REF!</definedName>
    <definedName name="LIDIA" hidden="1">{"'OBT_6M_30_6'!$S$1:$AE$53"}</definedName>
    <definedName name="LIDIA2" hidden="1">{"'OBT_6M_30_6'!$S$1:$AE$53"}</definedName>
    <definedName name="LIDIA3" hidden="1">{"'OBT_6M_30_6'!$S$1:$AE$53"}</definedName>
    <definedName name="LIDIA4" hidden="1">{"'OBT_6M_30_6'!$S$1:$AE$53"}</definedName>
    <definedName name="Lighting" hidden="1">{#N/A,#N/A,FALSE,"Profit Status";#N/A,#N/A,FALSE,"Invest";#N/A,#N/A,FALSE,"Revenue";#N/A,#N/A,FALSE,"Variable Cost";#N/A,#N/A,FALSE,"Options &amp; Series"}</definedName>
    <definedName name="limcount" hidden="1">1</definedName>
    <definedName name="list">#REF!</definedName>
    <definedName name="LJ"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llooj" hidden="1">{"'BGT2001'!$A$1:$AE$112"}</definedName>
    <definedName name="llp"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lo" hidden="1">{#N/A,#N/A,TRUE,"SCR-LA 2000";#N/A,#N/A,TRUE,"SCR-LA 2001";#N/A,#N/A,TRUE,"SCR-LA 2002";#N/A,#N/A,TRUE,"SCR-LA 2003"}</definedName>
    <definedName name="Loans_Sale">#REF!</definedName>
    <definedName name="lòòà" hidden="1">{#N/A,#N/A,FALSE,"Assumptions";#N/A,#N/A,FALSE,"Volumes";#N/A,#N/A,FALSE,"Pricing";#N/A,#N/A,FALSE,"Variable Cost";#N/A,#N/A,FALSE,"Investment";#N/A,#N/A,FALSE,"Profitability";#N/A,#N/A,FALSE,"Business Comparison"}</definedName>
    <definedName name="lpoiuj" hidden="1">{"'BGT2001'!$A$1:$AE$112"}</definedName>
    <definedName name="lsl" hidden="1">{#N/A,#N/A,TRUE,"Ratios USD";#N/A,#N/A,TRUE,"Ratios R$";#N/A,#N/A,TRUE,"Equity Interests";#N/A,#N/A,TRUE,"Sensitivity Tables";#N/A,#N/A,TRUE,"WACC Sensitivity Table";#N/A,#N/A,TRUE,"WACC";#N/A,#N/A,TRUE,"FX RATES";#N/A,#N/A,TRUE,"TMIGFCF";#N/A,#N/A,TRUE,"TNORTEFCF";#N/A,#N/A,TRUE,"AmericellFCF";#N/A,#N/A,TRUE,"TeletFCF"}</definedName>
    <definedName name="LTYLTYKYYY" hidden="1">{"'OBT_6M_30_6'!$S$1:$AE$53"}</definedName>
    <definedName name="m" hidden="1">{#N/A,#N/A,TRUE,"SCR-LA 2000";#N/A,#N/A,TRUE,"SCR-LA 2001";#N/A,#N/A,TRUE,"SCR-LA 2002";#N/A,#N/A,TRUE,"SCR-LA 2003"}</definedName>
    <definedName name="MAIN">#REF!</definedName>
    <definedName name="MESES">#REF!</definedName>
    <definedName name="mfdifjfjkfjf" hidden="1">{"'BGT2001'!$A$1:$AE$112"}</definedName>
    <definedName name="mio" hidden="1">{"'OBT_6M_30_6'!$S$1:$AE$53"}</definedName>
    <definedName name="MM" hidden="1">{"'BGT2001'!$A$1:$AE$112"}</definedName>
    <definedName name="mmmm" hidden="1">{"'OBT_6M_30_6'!$S$1:$AE$53"}</definedName>
    <definedName name="mn" hidden="1">{#N/A,#N/A,TRUE,"SCR-LA 2001";#N/A,#N/A,TRUE,"2001 TOTAL";#N/A,#N/A,TRUE,"2001 Puerto Rico";#N/A,#N/A,TRUE,"2001 Argentina";#N/A,#N/A,TRUE,"2001 Brazil";#N/A,#N/A,TRUE,"2001 Venezuela";#N/A,#N/A,TRUE,"2001 Chile";#N/A,#N/A,TRUE,"2001 Other Latin America"}</definedName>
    <definedName name="modul" hidden="1">{"Prof. Calculation Full Costs",#N/A,FALSE,"Profitability calculation"}</definedName>
    <definedName name="moliere" hidden="1">{"'BGT2001'!$A$1:$AE$112"}</definedName>
    <definedName name="Monthly_Mo_to_Date">#REF!</definedName>
    <definedName name="Monthly_Year_to_Date">#REF!</definedName>
    <definedName name="Months_To_Date">#REF!</definedName>
    <definedName name="Mrtg_Serv_Rgt">#REF!</definedName>
    <definedName name="mtg_adj_income">#REF!</definedName>
    <definedName name="mtg_book_equity">#REF!</definedName>
    <definedName name="mtg_cof">#REF!</definedName>
    <definedName name="mtg_econ_capital">#REF!</definedName>
    <definedName name="mtg_net_income">#REF!</definedName>
    <definedName name="mtg_tax_rate">#REF!</definedName>
    <definedName name="n" hidden="1">{#N/A,#N/A,TRUE,"SCR-LA 2000";#N/A,#N/A,TRUE,"SCR-LA 2001";#N/A,#N/A,TRUE,"SCR-LA 2002";#N/A,#N/A,TRUE,"SCR-LA 2003"}</definedName>
    <definedName name="nao_adj_income">#REF!</definedName>
    <definedName name="NAO_Book_Eq">#REF!</definedName>
    <definedName name="nao_book_equity">#REF!</definedName>
    <definedName name="NAO_COF">#REF!</definedName>
    <definedName name="NAO_Debt">#REF!</definedName>
    <definedName name="NAO_Eco_Cap">#REF!</definedName>
    <definedName name="nao_econ_capital">#REF!</definedName>
    <definedName name="NAO_Inc_Tax">#REF!</definedName>
    <definedName name="NAO_Int_Exp">#REF!</definedName>
    <definedName name="NAO_Net_Inc">#REF!</definedName>
    <definedName name="nao_net_income">#REF!</definedName>
    <definedName name="nao_roe">#REF!</definedName>
    <definedName name="NAO_ROEC">#REF!</definedName>
    <definedName name="NAO_Tax_Rate">#REF!</definedName>
    <definedName name="NBNBB" hidden="1">{"'BGT2001'!$A$1:$AE$112"}</definedName>
    <definedName name="NBNJN" hidden="1">#REF!</definedName>
    <definedName name="NCFR" hidden="1">{"'BGT2001'!$A$1:$AE$112"}</definedName>
    <definedName name="neide" hidden="1">{"'Janeiro'!$A$1:$I$153"}</definedName>
    <definedName name="New"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NGHJNG" hidden="1">#REF!</definedName>
    <definedName name="NINEMOS99">#REF!</definedName>
    <definedName name="NJHMUIMUYIK" hidden="1">#REF!</definedName>
    <definedName name="Nonperf_Loans">#REF!</definedName>
    <definedName name="now">#REF!</definedName>
    <definedName name="NUOVO" hidden="1">{"'OBT_6M_30_6'!$S$1:$AE$53"}</definedName>
    <definedName name="NY_Accrual_Pg3">#REF!</definedName>
    <definedName name="NY_Accrual_Pg4">#REF!</definedName>
    <definedName name="o" hidden="1">{#N/A,#N/A,TRUE,"SCR-LA 2001";#N/A,#N/A,TRUE,"2001 TOTAL";#N/A,#N/A,TRUE,"2001 Puerto Rico";#N/A,#N/A,TRUE,"2001 Argentina";#N/A,#N/A,TRUE,"2001 Brazil";#N/A,#N/A,TRUE,"2001 Venezuela";#N/A,#N/A,TRUE,"2001 Chile";#N/A,#N/A,TRUE,"2001 Other Latin America"}</definedName>
    <definedName name="O_S">#REF!</definedName>
    <definedName name="oipí" hidden="1">{#N/A,#N/A,TRUE,"EMITI";#N/A,#N/A,TRUE,"XEMITI"}</definedName>
    <definedName name="Oli" hidden="1">#REF!</definedName>
    <definedName name="òòààà" hidden="1">{"'BGT2001'!$A$1:$AE$112"}</definedName>
    <definedName name="OOOOOOOOOOOOOOOOOOOOOOOOOOOOOOOOOOOOOOOOOOOOOOOOOOOOOO" hidden="1">{"'crono'!$U$12:$W$20"}</definedName>
    <definedName name="OP" hidden="1">{"'OBT_6M_30_6'!$S$1:$AE$53"}</definedName>
    <definedName name="OpbuQ4_Magnesio" hidden="1">{"'BGT2001'!$A$1:$AE$112"}</definedName>
    <definedName name="OPERATING" hidden="1">{"'BGT2001'!$A$1:$AE$112"}</definedName>
    <definedName name="Other_OP" hidden="1">{"'BGT2001'!$A$1:$AE$112"}</definedName>
    <definedName name="OTHOP" hidden="1">{"'BGT2001'!$A$1:$AE$112"}</definedName>
    <definedName name="p">#REF!</definedName>
    <definedName name="P_BORROWS">#REF!</definedName>
    <definedName name="P_DLRSTCKS">#REF!</definedName>
    <definedName name="P_EDSEXP">#REF!</definedName>
    <definedName name="P_INCOME">#REF!</definedName>
    <definedName name="P_LONGTERM">#REF!</definedName>
    <definedName name="P_MISCEXP">#REF!</definedName>
    <definedName name="P_NETINC">#REF!</definedName>
    <definedName name="P_PROFBUS1">#REF!</definedName>
    <definedName name="P_PROFBUS2">#REF!</definedName>
    <definedName name="P_PROFBUS3">#REF!</definedName>
    <definedName name="P_PROFBUS4">#REF!</definedName>
    <definedName name="P_WHOLESALE">#REF!</definedName>
    <definedName name="PAGE1">#REF!</definedName>
    <definedName name="PAGE10">#REF!</definedName>
    <definedName name="PAGE2">#REF!</definedName>
    <definedName name="PAGE3">#REF!</definedName>
    <definedName name="PAGE4">#REF!</definedName>
    <definedName name="PAGE5">#REF!</definedName>
    <definedName name="PAGE6">#REF!</definedName>
    <definedName name="page8a" hidden="1">{#N/A,#N/A,FALSE,"Profit Status";#N/A,#N/A,FALSE,"Invest";#N/A,#N/A,FALSE,"Revenue";#N/A,#N/A,FALSE,"Variable Cost";#N/A,#N/A,FALSE,"Options &amp; Series"}</definedName>
    <definedName name="PALMY" hidden="1">{"'BGT2001'!$A$1:$AE$112"}</definedName>
    <definedName name="patrim" hidden="1">#REF!</definedName>
    <definedName name="PEFAC2" hidden="1">{#N/A,#N/A,FALSE,"BALLANTINE´S ";#N/A,#N/A,FALSE,"FUNDADOR"}</definedName>
    <definedName name="Per_End_Date">#REF!</definedName>
    <definedName name="PERÍODO">#REF!</definedName>
    <definedName name="Pers_Lines_Analyst_Rpts">#REF!,#REF!,#REF!,#REF!,#REF!</definedName>
    <definedName name="pg1997a">#REF!</definedName>
    <definedName name="pg1997b">#REF!</definedName>
    <definedName name="pg1998a">#REF!</definedName>
    <definedName name="pg1998b">#REF!</definedName>
    <definedName name="pg1999a">#REF!</definedName>
    <definedName name="pg1999b">#REF!</definedName>
    <definedName name="pg2000a">#REF!</definedName>
    <definedName name="pg2000b">#REF!</definedName>
    <definedName name="pg2001a">#REF!</definedName>
    <definedName name="pg2001b">#REF!</definedName>
    <definedName name="pg2002a">#REF!</definedName>
    <definedName name="pg2002b">#REF!</definedName>
    <definedName name="pippo11" hidden="1">{#N/A,#N/A,FALSE,"CKD Price Build Up"}</definedName>
    <definedName name="pippo12" hidden="1">{#N/A,#N/A,FALSE,"Contr. Margin"}</definedName>
    <definedName name="pippo3" hidden="1">{#N/A,#N/A,FALSE,"Japan";#N/A,#N/A,FALSE,"Taiwan";#N/A,#N/A,FALSE,"Thailand";#N/A,#N/A,FALSE,"Australia"}</definedName>
    <definedName name="pippoooo" hidden="1">{"due_stringhe_po_tc",#N/A,FALSE,"TOT_VET_00";"due_stringhe_po_tc",#N/A,FALSE,"TOT_VET_FIAT";"due_stringhe_po_tc",#N/A,FALSE,"SEICENTO";"due_stringhe_po_tc",#N/A,FALSE,"SEIC+VAN";"due_stringhe_po_tc",#N/A,FALSE,"PANDA";"due_stringhe_po_tc",#N/A,FALSE,"PANDA+VAN";"due_stringhe_po_tc",#N/A,FALSE,"PUNTO";"due_stringhe_po_tc",#N/A,FALSE,"188";"due_stringhe_po_tc",#N/A,FALSE,"188_BN+VAN";"due_stringhe_po_tc",#N/A,FALSE,"PALIO-2V";"due_stringhe_po_tc",#N/A,FALSE,"PALIOWE";"due_stringhe_po_tc",#N/A,FALSE,"BRAVO_A";"due_stringhe_po_tc",#N/A,FALSE,"TIPO2";"due_stringhe_po_tc",#N/A,FALSE,"MAREA";"due_stringhe_po_tc",#N/A,FALSE,"MAREA+MAR";"due_stringhe_po_tc",#N/A,FALSE,"COUPE";"due_stringhe_po_tc",#N/A,FALSE,"BARCHETTA";"due_stringhe_po_tc",#N/A,FALSE,"MULTIPLA";"due_stringhe_po_tc",#N/A,FALSE,"ULYSSE";"due_stringhe_po_tc",#N/A,FALSE,"NUO_ULY";"due_stringhe_po_tc",#N/A,FALSE,"ULY TOT";"due_stringhe_po_tc",#N/A,FALSE,"DOBLO_TOT";"due_stringhe_po_tc",#N/A,FALSE,"DOBLO_PERS"}</definedName>
    <definedName name="pk" hidden="1">{"'OBT_6M_30_6'!$S$1:$AE$53"}</definedName>
    <definedName name="Plan_Media_2000" hidden="1">{#N/A,#N/A,TRUE,"Año";#N/A,#N/A,TRUE,"Ene";#N/A,#N/A,TRUE,"Feb";#N/A,#N/A,TRUE,"Mar";#N/A,#N/A,TRUE,"Abr";#N/A,#N/A,TRUE,"May";#N/A,#N/A,TRUE,"Jun";#N/A,#N/A,TRUE,"Jul";#N/A,#N/A,TRUE,"Ago";#N/A,#N/A,TRUE,"Sep";#N/A,#N/A,TRUE,"Oct";#N/A,#N/A,TRUE,"Nov";#N/A,#N/A,TRUE,"Dic"}</definedName>
    <definedName name="planilha" hidden="1">{#N/A,#N/A,FALSE,"Assumptions";#N/A,#N/A,FALSE,"Volumes";#N/A,#N/A,FALSE,"Pricing";#N/A,#N/A,FALSE,"Variable Cost";#N/A,#N/A,FALSE,"Investment";#N/A,#N/A,FALSE,"Profitability";#N/A,#N/A,FALSE,"Business Comparison"}</definedName>
    <definedName name="po" hidden="1">#REF!</definedName>
    <definedName name="poi" hidden="1">{#N/A,#N/A,TRUE,"SCR-LA 2000";#N/A,#N/A,TRUE,"SCR-LA 2001";#N/A,#N/A,TRUE,"SCR-LA 2002";#N/A,#N/A,TRUE,"SCR-LA 2003"}</definedName>
    <definedName name="PORCO" hidden="1">{"'OBT_6M_30_6'!$S$1:$AE$53"}</definedName>
    <definedName name="PP" hidden="1">{"'OBT_6M_30_6'!$S$1:$AE$53"}</definedName>
    <definedName name="ppppppppp" hidden="1">{"'OBT_6M_30_6'!$S$1:$AE$53"}</definedName>
    <definedName name="prensa" hidden="1">#REF!</definedName>
    <definedName name="Prev_Month_End">#REF!</definedName>
    <definedName name="Print2000">#REF!</definedName>
    <definedName name="Print2001">#REF!</definedName>
    <definedName name="Print2002">#REF!</definedName>
    <definedName name="Print2003">#REF!</definedName>
    <definedName name="PROF1">#REF!</definedName>
    <definedName name="PROF2">#REF!</definedName>
    <definedName name="PROF3">#REF!</definedName>
    <definedName name="PROF4">#REF!</definedName>
    <definedName name="prog.TV" hidden="1">{"'crono'!$U$12:$W$20"}</definedName>
    <definedName name="projeto">#REF!</definedName>
    <definedName name="promem" hidden="1">{#N/A,#N/A,FALSE,"Assumptions";#N/A,#N/A,FALSE,"Volumes";#N/A,#N/A,FALSE,"Pricing";#N/A,#N/A,FALSE,"Variable Cost";#N/A,#N/A,FALSE,"Investment";#N/A,#N/A,FALSE,"Profitability";#N/A,#N/A,FALSE,"Business Comparison"}</definedName>
    <definedName name="pwoefù" hidden="1">{#N/A,#N/A,TRUE,"Proposal";#N/A,#N/A,TRUE,"Assumptions";#N/A,#N/A,TRUE,"Net Income";#N/A,#N/A,TRUE,"Balsheet";#N/A,#N/A,TRUE,"Capex";#N/A,#N/A,TRUE,"Volumes";#N/A,#N/A,TRUE,"Revenues";#N/A,#N/A,TRUE,"Var.Costs";#N/A,#N/A,TRUE,"Personnel";#N/A,#N/A,TRUE,"Other costs";#N/A,#N/A,TRUE,"MKTG and G&amp;A"}</definedName>
    <definedName name="q">#REF!</definedName>
    <definedName name="qqqqqqq" hidden="1">{"'BGT2001'!$A$1:$AE$112"}</definedName>
    <definedName name="quarter">#REF!</definedName>
    <definedName name="qw" hidden="1">{#N/A,#N/A,TRUE,"Argentina";#N/A,#N/A,TRUE,"Brazil";#N/A,#N/A,TRUE,"Venezuela";#N/A,#N/A,TRUE,"Chile";#N/A,#N/A,TRUE,"Other LA";#N/A,#N/A,TRUE,"Puerto Rico"}</definedName>
    <definedName name="qwed" hidden="1">{#N/A,#N/A,FALSE,"Profit Status";#N/A,#N/A,FALSE,"Invest";#N/A,#N/A,FALSE,"Revenue";#N/A,#N/A,FALSE,"Variable Cost";#N/A,#N/A,FALSE,"Options &amp; Series"}</definedName>
    <definedName name="qwerrr" hidden="1">{"'BGT2001'!$A$1:$AE$112"}</definedName>
    <definedName name="qz" hidden="1">{#N/A,#N/A,TRUE,"SCR-LA 2000";#N/A,#N/A,TRUE,"SCR-LA 2001";#N/A,#N/A,TRUE,"SCR-LA 2002";#N/A,#N/A,TRUE,"SCR-LA 2003"}</definedName>
    <definedName name="r_c3_is">#REF!</definedName>
    <definedName name="r_crm_is">#REF!</definedName>
    <definedName name="r_ee_is">#REF!</definedName>
    <definedName name="r_ise_is">#REF!</definedName>
    <definedName name="r_it_ent_is">#REF!</definedName>
    <definedName name="r_trc_is">#REF!</definedName>
    <definedName name="rcp_adj_income">#REF!</definedName>
    <definedName name="rcp_book_equity">#REF!</definedName>
    <definedName name="rcp_cof">#REF!</definedName>
    <definedName name="rcp_econ_capital">#REF!</definedName>
    <definedName name="rcp_net_income">#REF!</definedName>
    <definedName name="rcp_roe">#REF!</definedName>
    <definedName name="rcp_roec">#REF!</definedName>
    <definedName name="rcp_tax_rate">#REF!</definedName>
    <definedName name="rdcontratos" hidden="1">{"'Janeiro'!$A$1:$I$153"}</definedName>
    <definedName name="reco">#REF!</definedName>
    <definedName name="refran_keyindicators">#REF!</definedName>
    <definedName name="REGFERYHYTU7JYIJ" hidden="1">#REF!</definedName>
    <definedName name="relo_keyindicators">#REF!</definedName>
    <definedName name="rem_adj_inc">#REF!</definedName>
    <definedName name="rem_bk_eq_a">#REF!</definedName>
    <definedName name="rem_bk_eq_e">#REF!</definedName>
    <definedName name="rem_ec_cap_a">#REF!</definedName>
    <definedName name="rem_ec_cap_e">#REF!</definedName>
    <definedName name="rem_net_inc">#REF!</definedName>
    <definedName name="rem_roec">#REF!</definedName>
    <definedName name="rem_tax_rate">#REF!</definedName>
    <definedName name="rendas">#REF!</definedName>
    <definedName name="ReportCreated">TRUE</definedName>
    <definedName name="Ret_Int">#REF!</definedName>
    <definedName name="reuvcnvjvbigig" hidden="1">{"'OBT_6M_30_6'!$S$1:$AE$53"}</definedName>
    <definedName name="revcista" hidden="1">{#N/A,#N/A,TRUE,"EMTCI";#N/A,#N/A,TRUE,"MOTDI";#N/A,#N/A,TRUE,"EMITI"}</definedName>
    <definedName name="Review" hidden="1">{#N/A,#N/A,FALSE,"Cover";#N/A,#N/A,FALSE,"Assumptions";#N/A,#N/A,FALSE,"Volumes";#N/A,#N/A,FALSE,"Pricing";#N/A,#N/A,FALSE,"TFLE Walk";#N/A,#N/A,FALSE,"Variable Cost";#N/A,#N/A,FALSE,"Sensitivity";#N/A,#N/A,FALSE,"Investment";#N/A,#N/A,FALSE,"Profitability"}</definedName>
    <definedName name="rf">#REF!</definedName>
    <definedName name="rfc_adj_inc">#REF!</definedName>
    <definedName name="rfc_bk_eq_a">#REF!</definedName>
    <definedName name="rfc_bk_eq_e">#REF!</definedName>
    <definedName name="rfc_ec_cap_a">#REF!</definedName>
    <definedName name="rfc_ec_cap_e">#REF!</definedName>
    <definedName name="rfc_net_inc">#REF!</definedName>
    <definedName name="rfc_roec">#REF!</definedName>
    <definedName name="rfc_tax_rate">#REF!</definedName>
    <definedName name="RFF" hidden="1">{"'OBT_6M_30_6'!$S$1:$AE$53"}</definedName>
    <definedName name="rg" hidden="1">{#N/A,#N/A,TRUE,"SCR-LA 2000";#N/A,#N/A,TRUE,"SCR-LA 2001";#N/A,#N/A,TRUE,"SCR-LA 2002";#N/A,#N/A,TRUE,"SCR-LA 2003"}</definedName>
    <definedName name="RITA" hidden="1">{"'OBT_6M_30_6'!$S$1:$AE$53"}</definedName>
    <definedName name="RITA1" hidden="1">{"'OBT_6M_30_6'!$S$1:$AE$53"}</definedName>
    <definedName name="RITA2" hidden="1">{"'OBT_6M_30_6'!$S$1:$AE$53"}</definedName>
    <definedName name="RITA3" hidden="1">{"'OBT_6M_30_6'!$S$1:$AE$53"}</definedName>
    <definedName name="RITA4" hidden="1">{#N/A,#N/A,FALSE,"Japan";#N/A,#N/A,FALSE,"Taiwan";#N/A,#N/A,FALSE,"Thailand";#N/A,#N/A,FALSE,"Australia"}</definedName>
    <definedName name="RITA5" hidden="1">{#N/A,#N/A,FALSE,"CKD Price Build Up"}</definedName>
    <definedName name="RITA6" hidden="1">{#N/A,#N/A,FALSE,"Contr. Margin"}</definedName>
    <definedName name="ROECYTD1">#REF!</definedName>
    <definedName name="ROECYTD2">#REF!</definedName>
    <definedName name="rolrort" hidden="1">{"'BGT2001'!$A$1:$AE$112"}</definedName>
    <definedName name="rrr" hidden="1">{#N/A,#N/A,FALSE,"CKD Price Build Up"}</definedName>
    <definedName name="rrrrr" hidden="1">{#N/A,#N/A,FALSE,"Contr. Margin"}</definedName>
    <definedName name="rta" hidden="1">{#N/A,#N/A,FALSE,"Assumptions";#N/A,#N/A,FALSE,"Volumes";#N/A,#N/A,FALSE,"Pricing";#N/A,#N/A,FALSE,"Variable Cost";#N/A,#N/A,FALSE,"Investment";#N/A,#N/A,FALSE,"Profitability";#N/A,#N/A,FALSE,"Business Comparison"}</definedName>
    <definedName name="rthcvcstcesa" hidden="1">#REF!</definedName>
    <definedName name="rtrr" hidden="1">{#N/A,#N/A,TRUE,"Argentina";#N/A,#N/A,TRUE,"Brazil";#N/A,#N/A,TRUE,"Venezuela";#N/A,#N/A,TRUE,"Chile";#N/A,#N/A,TRUE,"Other LA";#N/A,#N/A,TRUE,"Puerto Rico"}</definedName>
    <definedName name="rtwetetyetye" hidden="1">#REF!</definedName>
    <definedName name="rtygetyhyjhj" hidden="1">#REF!</definedName>
    <definedName name="rtyrty" hidden="1">{"'Janeiro'!$A$1:$I$153"}</definedName>
    <definedName name="rvcvhyh" hidden="1">{"'OBT_6M_30_6'!$S$1:$AE$53"}</definedName>
    <definedName name="S">#REF!</definedName>
    <definedName name="sadfsad" hidden="1">#REF!</definedName>
    <definedName name="sandr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SAPBEXdnldView" hidden="1">"411I4OEE440ZW3XFMUOYAHQGD"</definedName>
    <definedName name="SAPBEXrevision" hidden="1">3</definedName>
    <definedName name="SAPBEXsysID" hidden="1">"BP1"</definedName>
    <definedName name="SAPBEXwbID" hidden="1">"3U2PSF1KESQK4U14B6X7C6DL5"</definedName>
    <definedName name="sasde" hidden="1">{"'BGT2001'!$A$1:$AE$112"}</definedName>
    <definedName name="SCFSDF" hidden="1">#REF!</definedName>
    <definedName name="sched10">#REF!</definedName>
    <definedName name="sched12">#REF!</definedName>
    <definedName name="sdcfwfcfgggg" hidden="1">#REF!</definedName>
    <definedName name="SDFDGFGG" hidden="1">{"'OBT_6M_30_6'!$S$1:$AE$53"}</definedName>
    <definedName name="SDFSDFDS" hidden="1">#REF!</definedName>
    <definedName name="sdgfsdg" hidden="1">{#N/A,#N/A,TRUE,"SCR-LA 2000";#N/A,#N/A,TRUE,"SCR-LA 2001";#N/A,#N/A,TRUE,"SCR-LA 2002";#N/A,#N/A,TRUE,"SCR-LA 2003"}</definedName>
    <definedName name="sdrtbdjhnjkg" hidden="1">#REF!</definedName>
    <definedName name="SDVFSFEG" hidden="1">#REF!</definedName>
    <definedName name="se" hidden="1">{#N/A,#N/A,TRUE,"SCR-LA 2001";#N/A,#N/A,TRUE,"2001 TOTAL";#N/A,#N/A,TRUE,"2001 Puerto Rico";#N/A,#N/A,TRUE,"2001 Argentina";#N/A,#N/A,TRUE,"2001 Brazil";#N/A,#N/A,TRUE,"2001 Venezuela";#N/A,#N/A,TRUE,"2001 Chile";#N/A,#N/A,TRUE,"2001 Other Latin America"}</definedName>
    <definedName name="SecondQtr99">#REF!</definedName>
    <definedName name="Seg_N.A.">#REF!</definedName>
    <definedName name="sencount" hidden="1">1</definedName>
    <definedName name="sg" hidden="1">{"'BGT2001'!$A$1:$AE$112"}</definedName>
    <definedName name="sgsdfgsd" hidden="1">{#N/A,#N/A,TRUE,"SCR-LA 2000";#N/A,#N/A,TRUE,"SCR-LA 2001";#N/A,#N/A,TRUE,"SCR-LA 2002";#N/A,#N/A,TRUE,"SCR-LA 2003"}</definedName>
    <definedName name="SHEETE">#REF!</definedName>
    <definedName name="SHOOT"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SIN" hidden="1">{#N/A,#N/A,FALSE,"CKD Price Build Up"}</definedName>
    <definedName name="SixMos99">#REF!</definedName>
    <definedName name="sjsth" hidden="1">{#N/A,#N/A,TRUE,"SCR-LA 2001";#N/A,#N/A,TRUE,"2001 TOTAL";#N/A,#N/A,TRUE,"2001 Puerto Rico";#N/A,#N/A,TRUE,"2001 Argentina";#N/A,#N/A,TRUE,"2001 Brazil";#N/A,#N/A,TRUE,"2001 Venezuela";#N/A,#N/A,TRUE,"2001 Chile";#N/A,#N/A,TRUE,"2001 Other Latin America"}</definedName>
    <definedName name="skdjfh" hidden="1">{#N/A,#N/A,FALSE,"Assumptions";#N/A,#N/A,FALSE,"Volumes";#N/A,#N/A,FALSE,"Pricing";#N/A,#N/A,FALSE,"Variable Cost";#N/A,#N/A,FALSE,"Investment";#N/A,#N/A,FALSE,"Profitability";#N/A,#N/A,FALSE,"Business Comparison"}</definedName>
    <definedName name="skdjfh1" hidden="1">{#N/A,#N/A,FALSE,"Assumptions";#N/A,#N/A,FALSE,"Volumes";#N/A,#N/A,FALSE,"Pricing";#N/A,#N/A,FALSE,"Variable Cost";#N/A,#N/A,FALSE,"Investment";#N/A,#N/A,FALSE,"Profitability";#N/A,#N/A,FALSE,"Business Comparison"}</definedName>
    <definedName name="solver_adj" hidden="1">#REF!</definedName>
    <definedName name="solver_lin" hidden="1">0</definedName>
    <definedName name="solver_num" hidden="1">0</definedName>
    <definedName name="solver_opt" hidden="1">#REF!</definedName>
    <definedName name="solver_tmp" hidden="1">#REF!</definedName>
    <definedName name="solver_typ" hidden="1">1</definedName>
    <definedName name="solver_val" hidden="1">1000</definedName>
    <definedName name="Sort2" hidden="1">#REF!</definedName>
    <definedName name="sorte" hidden="1">{"'Comercial'!$A$1:$K$258","'Comercial'!$A$1:$K$257"}</definedName>
    <definedName name="ss" hidden="1">{"'19 Federal Tax Reconciliation'!$B$1:$H$71"}</definedName>
    <definedName name="sss" hidden="1">{"'BGT2001'!$A$1:$AE$112"}</definedName>
    <definedName name="SSSS" hidden="1">{"'OBT_6M_30_6'!$S$1:$AE$53"}</definedName>
    <definedName name="SSSSS" hidden="1">{"'BGT2001'!$A$1:$AE$112"}</definedName>
    <definedName name="ssssss" hidden="1">{"'BGT2001'!$A$1:$AE$112"}</definedName>
    <definedName name="START">#REF!</definedName>
    <definedName name="STATTAX">#REF!</definedName>
    <definedName name="sust" hidden="1">{"'Comercial'!$A$1:$K$258","'Comercial'!$A$1:$K$257"}</definedName>
    <definedName name="sustent" hidden="1">{"'Comercial'!$A$1:$K$258","'Comercial'!$A$1:$K$257"}</definedName>
    <definedName name="sx" hidden="1">{#N/A,#N/A,TRUE,"SCR-LA 2000";#N/A,#N/A,TRUE,"SCR-LA 2001";#N/A,#N/A,TRUE,"SCR-LA 2002";#N/A,#N/A,TRUE,"SCR-LA 2003"}</definedName>
    <definedName name="T">#REF!</definedName>
    <definedName name="tabelle" hidden="1">{"Synthesis",#N/A,FALSE,"SYNTHESIS"}</definedName>
    <definedName name="Target">#REF!</definedName>
    <definedName name="tdioer" hidden="1">{"'BGT2001'!$A$1:$AE$112"}</definedName>
    <definedName name="TEMPCALC">#REF!</definedName>
    <definedName name="tes" hidden="1">{#N/A,#N/A,FALSE,"Assumptions";#N/A,#N/A,FALSE,"Volumes";#N/A,#N/A,FALSE,"Pricing";#N/A,#N/A,FALSE,"Variable Cost";#N/A,#N/A,FALSE,"Investment";#N/A,#N/A,FALSE,"Profitability";#N/A,#N/A,FALSE,"Business Comparison"}</definedName>
    <definedName name="test1" hidden="1">{#N/A,#N/A,TRUE,"2001 TOTAL";#N/A,#N/A,TRUE,"2001 Argentina";#N/A,#N/A,TRUE,"2001 Brazil";#N/A,#N/A,TRUE,"2001 Venezuela";#N/A,#N/A,TRUE,"2001 Chile";#N/A,#N/A,TRUE,"2001 Other Latin America";#N/A,#N/A,TRUE,"2001 Puerto Rico"}</definedName>
    <definedName name="test11" hidden="1">{#N/A,#N/A,TRUE,"SCR-LA 2000";#N/A,#N/A,TRUE,"SCR-LA 2001";#N/A,#N/A,TRUE,"SCR-LA 2002";#N/A,#N/A,TRUE,"SCR-LA 2003"}</definedName>
    <definedName name="test2" hidden="1">{#N/A,#N/A,TRUE,"Argentina";#N/A,#N/A,TRUE,"Brazil";#N/A,#N/A,TRUE,"Venezuela";#N/A,#N/A,TRUE,"Chile";#N/A,#N/A,TRUE,"Other LA";#N/A,#N/A,TRUE,"Puerto Rico"}</definedName>
    <definedName name="test3" hidden="1">#REF!</definedName>
    <definedName name="test4" hidden="1">{#N/A,#N/A,TRUE,"SCR-LA 2000";#N/A,#N/A,TRUE,"SCR-LA 2001";#N/A,#N/A,TRUE,"SCR-LA 2002";#N/A,#N/A,TRUE,"SCR-LA 2003"}</definedName>
    <definedName name="teste" hidden="1">{#N/A,#N/A,FALSE,"Profit Status";#N/A,#N/A,FALSE,"Invest";#N/A,#N/A,FALSE,"Revenue";#N/A,#N/A,FALSE,"Variable Cost";#N/A,#N/A,FALSE,"Options &amp; Series"}</definedName>
    <definedName name="tg" hidden="1">{#N/A,#N/A,TRUE,"2001 TOTAL";#N/A,#N/A,TRUE,"2001 Argentina";#N/A,#N/A,TRUE,"2001 Brazil";#N/A,#N/A,TRUE,"2001 Venezuela";#N/A,#N/A,TRUE,"2001 Chile";#N/A,#N/A,TRUE,"2001 Other Latin America";#N/A,#N/A,TRUE,"2001 Puerto Rico"}</definedName>
    <definedName name="thirdq99">#REF!</definedName>
    <definedName name="thtryty" hidden="1">{"'Janeiro'!$A$1:$I$153"}</definedName>
    <definedName name="tipo">#REF!</definedName>
    <definedName name="TITLE">#REF!</definedName>
    <definedName name="Toledo" hidden="1">{#N/A,#N/A,FALSE,"BALLANTINE´S ";#N/A,#N/A,FALSE,"FUNDADOR"}</definedName>
    <definedName name="totals">#REF!</definedName>
    <definedName name="tr" hidden="1">{#N/A,#N/A,TRUE,"2001 TOTAL";#N/A,#N/A,TRUE,"2001 Argentina";#N/A,#N/A,TRUE,"2001 Brazil";#N/A,#N/A,TRUE,"2001 Venezuela";#N/A,#N/A,TRUE,"2001 Chile";#N/A,#N/A,TRUE,"2001 Other Latin America";#N/A,#N/A,TRUE,"2001 Puerto Rico"}</definedName>
    <definedName name="Treas">#REF!</definedName>
    <definedName name="Trsy">#REF!</definedName>
    <definedName name="ttt" hidden="1">{#N/A,#N/A,FALSE,"Japan";#N/A,#N/A,FALSE,"Taiwan";#N/A,#N/A,FALSE,"Thailand";#N/A,#N/A,FALSE,"Australia"}</definedName>
    <definedName name="tttt" hidden="1">{"'OBT_6M_30_6'!$S$1:$AE$53"}</definedName>
    <definedName name="TV" hidden="1">{"'crono'!$U$12:$W$20"}</definedName>
    <definedName name="TVGYRTUHTYIUKPIOÇ.JK" hidden="1">#REF!</definedName>
    <definedName name="ty" hidden="1">{"'OBT_6M_30_6'!$S$1:$AE$53"}</definedName>
    <definedName name="ui" hidden="1">{#N/A,#N/A,TRUE,"SCR-LA 2000";#N/A,#N/A,TRUE,"SCR-LA 2001";#N/A,#N/A,TRUE,"SCR-LA 2002";#N/A,#N/A,TRUE,"SCR-LA 2003"}</definedName>
    <definedName name="uiu" hidden="1">{#N/A,#N/A,TRUE,"Proposal";#N/A,#N/A,TRUE,"Assumptions";#N/A,#N/A,TRUE,"Net Income";#N/A,#N/A,TRUE,"Balsheet";#N/A,#N/A,TRUE,"Capex";#N/A,#N/A,TRUE,"Volumes";#N/A,#N/A,TRUE,"Revenues";#N/A,#N/A,TRUE,"Var.Costs";#N/A,#N/A,TRUE,"Personnel";#N/A,#N/A,TRUE,"Other costs";#N/A,#N/A,TRUE,"MKTG and G&amp;A"}</definedName>
    <definedName name="ujuikuiki" hidden="1">#REF!</definedName>
    <definedName name="uokgf" hidden="1">{"'BGT2001'!$A$1:$AE$112"}</definedName>
    <definedName name="uortio" hidden="1">{"'BGT2001'!$A$1:$AE$112"}</definedName>
    <definedName name="us" hidden="1">{#N/A,#N/A,FALSE,"Sheet1"}</definedName>
    <definedName name="uy" hidden="1">{#N/A,#N/A,TRUE,"SCR-LA 2000";#N/A,#N/A,TRUE,"SCR-LA 2001";#N/A,#N/A,TRUE,"SCR-LA 2002";#N/A,#N/A,TRUE,"SCR-LA 2003"}</definedName>
    <definedName name="v" hidden="1">{#N/A,#N/A,TRUE,"SCR-LA 2000";#N/A,#N/A,TRUE,"SCR-LA 2001";#N/A,#N/A,TRUE,"SCR-LA 2002";#N/A,#N/A,TRUE,"SCR-LA 2003"}</definedName>
    <definedName name="VBCBVCBCB" hidden="1">#REF!</definedName>
    <definedName name="vc" hidden="1">{#N/A,#N/A,TRUE,"SCR-LA 2000";#N/A,#N/A,TRUE,"SCR-LA 2001";#N/A,#N/A,TRUE,"SCR-LA 2002";#N/A,#N/A,TRUE,"SCR-LA 2003"}</definedName>
    <definedName name="VCBDGDGDD" hidden="1">{"'OBT_6M_30_6'!$S$1:$AE$53"}</definedName>
    <definedName name="vdfgfghghjfg" hidden="1">#REF!</definedName>
    <definedName name="vdfrgr" hidden="1">{"'Janeiro'!$A$1:$I$153"}</definedName>
    <definedName name="vdsfews" hidden="1">{"'Janeiro'!$A$1:$I$153"}</definedName>
    <definedName name="Vector" hidden="1">{"'Volante'!$A$1:$O$18"}</definedName>
    <definedName name="vhul" hidden="1">{"'BGT2001'!$A$1:$AE$112"}</definedName>
    <definedName name="vhytjuyj" hidden="1">{"'Janeiro'!$A$1:$I$153"}</definedName>
    <definedName name="vitorio" hidden="1">{"'crono'!$U$12:$W$20"}</definedName>
    <definedName name="vmeiflòflòff" hidden="1">{"'BGT2001'!$A$1:$AE$112"}</definedName>
    <definedName name="vol">#REF!</definedName>
    <definedName name="vrtryjhvyrj" hidden="1">#REF!</definedName>
    <definedName name="VRWGVYHGNUJ" hidden="1">#REF!</definedName>
    <definedName name="vsd" hidden="1">{#N/A,#N/A,TRUE,"SCR-LA 2001";#N/A,#N/A,TRUE,"2001 TOTAL";#N/A,#N/A,TRUE,"2001 Puerto Rico";#N/A,#N/A,TRUE,"2001 Argentina";#N/A,#N/A,TRUE,"2001 Brazil";#N/A,#N/A,TRUE,"2001 Venezuela";#N/A,#N/A,TRUE,"2001 Chile";#N/A,#N/A,TRUE,"2001 Other Latin America"}</definedName>
    <definedName name="vsdfew" hidden="1">{"'Janeiro'!$A$1:$I$153"}</definedName>
    <definedName name="vxcvgdfsg" hidden="1">{"'Janeiro'!$A$1:$I$153"}</definedName>
    <definedName name="vz" hidden="1">{#N/A,#N/A,FALSE,"Assumptions";#N/A,#N/A,FALSE,"Volumes";#N/A,#N/A,FALSE,"Pricing";#N/A,#N/A,FALSE,"Variable Cost";#N/A,#N/A,FALSE,"Investment";#N/A,#N/A,FALSE,"Profitability";#N/A,#N/A,FALSE,"Business Comparison"}</definedName>
    <definedName name="w" hidden="1">{"'OBT_6M_30_6'!$S$1:$AE$53"}</definedName>
    <definedName name="w3r" hidden="1">{#N/A,#N/A,FALSE,"Profit Status";#N/A,#N/A,FALSE,"Invest";#N/A,#N/A,FALSE,"Revenue";#N/A,#N/A,FALSE,"Variable Cost";#N/A,#N/A,FALSE,"Options &amp; Series"}</definedName>
    <definedName name="weeee" hidden="1">{"'OBT_6M_30_6'!$S$1:$AE$53"}</definedName>
    <definedName name="wghatt" hidden="1">{"'BGT2001'!$A$1:$AE$112"}</definedName>
    <definedName name="whatever"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WHOLESALE">#REF!</definedName>
    <definedName name="WHSINC">#REF!</definedName>
    <definedName name="WKSHT">#REF!</definedName>
    <definedName name="WORKSHEET">#REF!</definedName>
    <definedName name="wr">#REF!</definedName>
    <definedName name="wrn.2001._.Product." hidden="1">{#N/A,#N/A,TRUE,"2001 TOTAL";#N/A,#N/A,TRUE,"2001 South Africa";#N/A,#N/A,TRUE,"2001 Egypt";#N/A,#N/A,TRUE,"2001 RCENA";#N/A,#N/A,TRUE,"2001Czech Rep";#N/A,#N/A,TRUE,"2001 Poland";#N/A,#N/A,TRUE,"2001 RCWA";#N/A,#N/A,TRUE,"2001 RCSA";#N/A,#N/A,TRUE,"2001 Turkey";#N/A,#N/A,TRUE,"2001 Dubai"}</definedName>
    <definedName name="wrn.2001._.Summary." hidden="1">{#N/A,#N/A,TRUE,"SCR-LA 2001";#N/A,#N/A,TRUE,"2001 TOTAL";#N/A,#N/A,TRUE,"2001 Puerto Rico";#N/A,#N/A,TRUE,"2001 Argentina";#N/A,#N/A,TRUE,"2001 Brazil";#N/A,#N/A,TRUE,"2001 Venezuela";#N/A,#N/A,TRUE,"2001 Chile";#N/A,#N/A,TRUE,"2001 Other Latin America"}</definedName>
    <definedName name="wrn.3" hidden="1">{#N/A,#N/A,TRUE,"EMTCI";#N/A,#N/A,TRUE,"MOTDI";#N/A,#N/A,TRUE,"EMITI"}</definedName>
    <definedName name="wrn.3._.TC._.EXPORT._.SHEETS." hidden="1">{#N/A,#N/A,TRUE,"XEMTCI";#N/A,#N/A,TRUE,"XMOTDI";#N/A,#N/A,TRUE,"XEMITI"}</definedName>
    <definedName name="wrn.3._.TC._.MAIN._.SHEETS." hidden="1">{#N/A,#N/A,TRUE,"EMTCI";#N/A,#N/A,TRUE,"MOTDI";#N/A,#N/A,TRUE,"EMITI"}</definedName>
    <definedName name="wrn.9D." hidden="1">{"9D",#N/A,FALSE,"9D"}</definedName>
    <definedName name="wrn.Aging._.and._.Trend._.Analysis." hidden="1">{#N/A,#N/A,FALSE,"Aging Summary";#N/A,#N/A,FALSE,"Ratio Analysis";#N/A,#N/A,FALSE,"Test 120 Day Accts";#N/A,#N/A,FALSE,"Tickmarks"}</definedName>
    <definedName name="wrn.All." hidden="1">{#N/A,#N/A,FALSE,"LOAD CFA USAssy&amp;Stp";#N/A,#N/A,FALSE,"LOAD CFA CanAssy&amp;Stp";#N/A,#N/A,FALSE,"LOAD CFA US PTO&amp;CO";#N/A,#N/A,FALSE,"LOAD CFA Can PTO&amp;CO";#N/A,#N/A,FALSE,"LOAD CFA MfgGO";#N/A,#N/A,FALSE,"LOAD CFA Stats";#N/A,#N/A,FALSE,"LOAD CorpExpense";#N/A,#N/A,FALSE,"Total ProfitLoss Submission CFA"}</definedName>
    <definedName name="wrn.Big._.Four._.Countries." hidden="1">{#N/A,#N/A,FALSE,"Japan";#N/A,#N/A,FALSE,"Taiwan";#N/A,#N/A,FALSE,"Thailand";#N/A,#N/A,FALSE,"Australia"}</definedName>
    <definedName name="wrn.BS." hidden="1">{"B-S",#N/A,FALSE,"AFF-99"}</definedName>
    <definedName name="wrn.bs2" hidden="1">{"B-S",#N/A,FALSE,"AFF-99"}</definedName>
    <definedName name="wrn.CKD._.Price._.Build._.Up." hidden="1">{#N/A,#N/A,FALSE,"CKD Price Build Up"}</definedName>
    <definedName name="wrn.Comparison." hidden="1">{#N/A,#N/A,TRUE,"SCR-DCOS 2001";#N/A,#N/A,TRUE,"SCR-DCOS 2000 Per Unit";#N/A,#N/A,TRUE,"SCR-DCOS 2000-01 Compare";#N/A,#N/A,TRUE,"SCR-DCOS 2002";#N/A,#N/A,TRUE,"Per Unit Comparison";#N/A,#N/A,TRUE,"SCR-DCOS 2001 Per Unit"}</definedName>
    <definedName name="wrn.Contribution._.Margin." hidden="1">{#N/A,#N/A,FALSE,"Contr. Margin"}</definedName>
    <definedName name="wrn.Country._.by._.Year." hidden="1">{#N/A,#N/A,TRUE,"Argentina";#N/A,#N/A,TRUE,"Brazil";#N/A,#N/A,TRUE,"Venezuela";#N/A,#N/A,TRUE,"Chile";#N/A,#N/A,TRUE,"Other LA";#N/A,#N/A,TRUE,"Puerto Rico";#N/A,#N/A,TRUE,"Group Office"}</definedName>
    <definedName name="wrn.Danilo." hidden="1">{#N/A,#N/A,TRUE,"Main Issues";#N/A,#N/A,TRUE,"Income statement ($)"}</definedName>
    <definedName name="wrn.DEPRECIATION." hidden="1">{"Depreciation",#N/A,FALSE,"DEPRECIATION"}</definedName>
    <definedName name="wrn.DHOR._.ESTAÇÕES._.L._.2._.até._.JUN98." hidden="1">{"DhVCV",#N/A,FALSE,"CRC";"DhTCL",#N/A,FALSE,"CRC";"dhERN",#N/A,FALSE,"Plan1";"DhINH",#N/A,FALSE,"Plan1";"dhDCT",#N/A,FALSE,"Plan1";"DhMGR",#N/A,FALSE,"Plan1";"DhTRG",#N/A,FALSE,"Plan1";"DhMRC",#N/A,FALSE,"Plan1";"DhSCR",#N/A,FALSE,"Plan1";"CAPAL2",#N/A,FALSE,"CAPAL2"}</definedName>
    <definedName name="wrn.DHOR._.ESTAÇÕES._.L1._.até._.JUN98." hidden="1">{"dhBTF",#N/A,FALSE,"ABSOLUTO";"dhFLA",#N/A,FALSE,"ABSOLUTO";"DhLMC",#N/A,FALSE,"ABSOLUTO";"dhCTT",#N/A,FALSE,"ABSOLUTO";"dhGLR",#N/A,FALSE,"ABSOLUTO";"dhCNL",#N/A,FALSE,"ABSOLUTO";"dhCRC",#N/A,FALSE,"ABSOLUTO";"DhURG",#N/A,FALSE,"ABSOLUTO";"DhPVG",#N/A,FALSE,"ABSOLUTO";"dhCTR",#N/A,FALSE,"ABSOLUTO";"DhPOZ",#N/A,FALSE,"ABSOLUTO";"dhESA",#N/A,FALSE,"ABSOLUTO";"dhAFP",#N/A,FALSE,"ABSOLUTO";"DhSFX",#N/A,FALSE,"ABSOLUTO";"DhSPN",#N/A,FALSE,"ABSOLUTO";"SisL1L2",#N/A,FALSE,"ABSOLUTO"}</definedName>
    <definedName name="wrn.DhOut98." hidden="1">{"1DhPgAbs",#N/A,FALSE,"dHora";"2DhPgPerc",#N/A,FALSE,"dHora";"3DhPgAbsAcum",#N/A,FALSE,"dHora"}</definedName>
    <definedName name="wrn.Direccione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wrn.due_stringhe_bdg_po." hidden="1">{"due-stringhe_bdg_po",#N/A,FALSE,"TOT_VET_00";"due-stringhe_bdg_po",#N/A,FALSE,"TOT_VET_FIAT";"due-stringhe_bdg_po",#N/A,FALSE,"SEICENTO";"due-stringhe_bdg_po",#N/A,FALSE,"SEIC+VAN";"due-stringhe_bdg_po",#N/A,FALSE,"PANDA";"due-stringhe_bdg_po",#N/A,FALSE,"PANDA+VAN";"due-stringhe_bdg_po",#N/A,FALSE,"PUNTO";"due-stringhe_bdg_po",#N/A,FALSE,"188";"due-stringhe_bdg_po",#N/A,FALSE,"188_BN+VAN";"due-stringhe_bdg_po",#N/A,FALSE,"PALIO-2V";"due-stringhe_bdg_po",#N/A,FALSE,"PALIOWE";"due-stringhe_bdg_po",#N/A,FALSE,"BRAVO_A";"due-stringhe_bdg_po",#N/A,FALSE,"TIPO2";"due-stringhe_bdg_po",#N/A,FALSE,"MAREA";"due-stringhe_bdg_po",#N/A,FALSE,"MAREA+MAR";"due-stringhe_bdg_po",#N/A,FALSE,"COUPE";"due-stringhe_bdg_po",#N/A,FALSE,"BARCHETTA";"due-stringhe_bdg_po",#N/A,FALSE,"MULTIPLA";"due-stringhe_bdg_po",#N/A,FALSE,"ULYSSE";"due-stringhe_bdg_po",#N/A,FALSE,"NUO_ULY";"due-stringhe_bdg_po",#N/A,FALSE,"ULY TOT";"due-stringhe_bdg_po",#N/A,FALSE,"DOBLO_TOT";"due-stringhe_bdg_po",#N/A,FALSE,"DOBLO_PERS"}</definedName>
    <definedName name="wrn.due_stringhe_bdg_tc." hidden="1">{"due_stringhe_bdg_tc",#N/A,FALSE,"TOT_VET_00";"due_stringhe_bdg_tc",#N/A,FALSE,"TOT_VET_FIAT";"due_stringhe_bdg_tc",#N/A,FALSE,"SEICENTO";"due_stringhe_bdg_tc",#N/A,FALSE,"SEIC+VAN";"due_stringhe_bdg_tc",#N/A,FALSE,"PANDA";"due_stringhe_bdg_tc",#N/A,FALSE,"PANDA+VAN";"due_stringhe_bdg_tc",#N/A,FALSE,"PUNTO";"due_stringhe_bdg_tc",#N/A,FALSE,"188";"due_stringhe_bdg_tc",#N/A,FALSE,"188_BN+VAN";"due_stringhe_bdg_tc",#N/A,FALSE,"PALIO-2V";"due_stringhe_bdg_tc",#N/A,FALSE,"PALIOWE";"due_stringhe_bdg_tc",#N/A,FALSE,"BRAVO_A";"due_stringhe_bdg_tc",#N/A,FALSE,"TIPO2";"due_stringhe_bdg_tc",#N/A,FALSE,"MAREA";"due_stringhe_bdg_tc",#N/A,FALSE,"MAREA+MAR";"due_stringhe_bdg_tc",#N/A,FALSE,"COUPE";"due_stringhe_bdg_tc",#N/A,FALSE,"BARCHETTA";"due_stringhe_bdg_tc",#N/A,FALSE,"MULTIPLA";"due_stringhe_bdg_tc",#N/A,FALSE,"ULYSSE";"due_stringhe_bdg_tc",#N/A,FALSE,"NUO_ULY";"due_stringhe_bdg_tc",#N/A,FALSE,"ULY TOT";"due_stringhe_bdg_tc",#N/A,FALSE,"DOBLO_TOT";"due_stringhe_bdg_tc",#N/A,FALSE,"DOBLO_PERS"}</definedName>
    <definedName name="wrn.due_stringhe_po_tc." hidden="1">{"due_stringhe_po_tc",#N/A,FALSE,"TOT_VET_00";"due_stringhe_po_tc",#N/A,FALSE,"TOT_VET_FIAT";"due_stringhe_po_tc",#N/A,FALSE,"SEICENTO";"due_stringhe_po_tc",#N/A,FALSE,"SEIC+VAN";"due_stringhe_po_tc",#N/A,FALSE,"PANDA";"due_stringhe_po_tc",#N/A,FALSE,"PANDA+VAN";"due_stringhe_po_tc",#N/A,FALSE,"PUNTO";"due_stringhe_po_tc",#N/A,FALSE,"188";"due_stringhe_po_tc",#N/A,FALSE,"188_BN+VAN";"due_stringhe_po_tc",#N/A,FALSE,"PALIO-2V";"due_stringhe_po_tc",#N/A,FALSE,"PALIOWE";"due_stringhe_po_tc",#N/A,FALSE,"BRAVO_A";"due_stringhe_po_tc",#N/A,FALSE,"TIPO2";"due_stringhe_po_tc",#N/A,FALSE,"MAREA";"due_stringhe_po_tc",#N/A,FALSE,"MAREA+MAR";"due_stringhe_po_tc",#N/A,FALSE,"COUPE";"due_stringhe_po_tc",#N/A,FALSE,"BARCHETTA";"due_stringhe_po_tc",#N/A,FALSE,"MULTIPLA";"due_stringhe_po_tc",#N/A,FALSE,"ULYSSE";"due_stringhe_po_tc",#N/A,FALSE,"NUO_ULY";"due_stringhe_po_tc",#N/A,FALSE,"ULY TOT";"due_stringhe_po_tc",#N/A,FALSE,"DOBLO_TOT";"due_stringhe_po_tc",#N/A,FALSE,"DOBLO_PERS"}</definedName>
    <definedName name="wrn.EMITI._.XMITI._.ONLY." hidden="1">{#N/A,#N/A,TRUE,"EMITI";#N/A,#N/A,TRUE,"XEMITI"}</definedName>
    <definedName name="wrn.EMTCI._.XEMTCI._.ONLY." hidden="1">{#N/A,#N/A,TRUE,"EMTCI";#N/A,#N/A,TRUE,"XEMTCI"}</definedName>
    <definedName name="wrn.Executive._.Summary." hidden="1">{#N/A,#N/A,FALSE,"Exec 2000";#N/A,#N/A,FALSE,"Exec 2001";#N/A,#N/A,FALSE,"Exec Comparison"}</definedName>
    <definedName name="wrn.Fixed._.Fringe._.Realignment._.Parallel." hidden="1">{#N/A,#N/A,TRUE,"CFA Business Element Org Names";#N/A,#N/A,TRUE,"Corp Acctg Org Names"}</definedName>
    <definedName name="wrn.INDICES." hidden="1">{"Indices",#N/A,FALSE,"INDICES"}</definedName>
    <definedName name="wrn.INDIRECT._.COSTS." hidden="1">{"Indirect Costs",#N/A,FALSE,"INDIRECT COSTS"}</definedName>
    <definedName name="wrn.Inversión._.por._.plaza." hidden="1">{#N/A,#N/A,FALSE,"BALLANTINE´S ";#N/A,#N/A,FALSE,"FUNDADOR"}</definedName>
    <definedName name="wrn.KKK._.Review." hidden="1">{#N/A,#N/A,FALSE,"Cover";#N/A,#N/A,FALSE,"Profits";#N/A,#N/A,FALSE,"ABS";#N/A,#N/A,FALSE,"TFLE Detail";#N/A,#N/A,FALSE,"TFLE Walk";#N/A,#N/A,FALSE,"Variable Cost";#N/A,#N/A,FALSE,"V.C. Walk"}</definedName>
    <definedName name="wrn.main._.page." hidden="1">{"main page",#N/A,FALSE,"VENTAS"}</definedName>
    <definedName name="wrn.Model."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wrn.Modello." hidden="1">{#N/A,#N/A,TRUE,"Proposal";#N/A,#N/A,TRUE,"Assumptions";#N/A,#N/A,TRUE,"Net Income";#N/A,#N/A,TRUE,"Balsheet";#N/A,#N/A,TRUE,"Capex";#N/A,#N/A,TRUE,"Volumes";#N/A,#N/A,TRUE,"Revenues";#N/A,#N/A,TRUE,"Var.Costs";#N/A,#N/A,TRUE,"Personnel";#N/A,#N/A,TRUE,"Other costs";#N/A,#N/A,TRUE,"MKTG and G&amp;A"}</definedName>
    <definedName name="wrn.MOTDI._.XMOTDI._.ONLY." hidden="1">{#N/A,#N/A,FALSE,"MOTDI";#N/A,#N/A,FALSE,"XMOTDI"}</definedName>
    <definedName name="wrn.OVERVIEW." hidden="1">{#N/A,#N/A,FALSE,"OVERVIEW"}</definedName>
    <definedName name="wrn.page1." hidden="1">{#N/A,#N/A,FALSE,"Sheet1"}</definedName>
    <definedName name="wrn.PL." hidden="1">{"P&amp;L",#N/A,FALSE,"AFF-99"}</definedName>
    <definedName name="wrn.Planilhas." hidden="1">{"Presentation","Presentation",FALSE,"3 COT"}</definedName>
    <definedName name="wrn.Print." hidden="1">{#N/A,#N/A,TRUE,"Ratios USD";#N/A,#N/A,TRUE,"Ratios R$";#N/A,#N/A,TRUE,"Equity Interests";#N/A,#N/A,TRUE,"Sensitivity Tables";#N/A,#N/A,TRUE,"WACC Sensitivity Table";#N/A,#N/A,TRUE,"WACC";#N/A,#N/A,TRUE,"FX RATES";#N/A,#N/A,TRUE,"TMIGFCF";#N/A,#N/A,TRUE,"TNORTEFCF";#N/A,#N/A,TRUE,"AmericellFCF";#N/A,#N/A,TRUE,"TeletFCF"}</definedName>
    <definedName name="wrn.PROF.._.CALCULATION._.FULL._.COSTS." hidden="1">{"Prof. Calculation Full Costs",#N/A,FALSE,"Profitability calculation"}</definedName>
    <definedName name="wrn.PROF.._.CALCULATION._.INCREMENTAL._.COSTS." hidden="1">{"Prof. Calculation Incremental Costs",#N/A,FALSE,"Profitability calculation"}</definedName>
    <definedName name="wrn.Profit._.Analysis." hidden="1">{#N/A,#N/A,FALSE,"Profit Status";#N/A,#N/A,FALSE,"Invest";#N/A,#N/A,FALSE,"Revenue";#N/A,#N/A,FALSE,"Variable Cost";#N/A,#N/A,FALSE,"Options &amp; Series"}</definedName>
    <definedName name="wrn.Profit._.and._.Loss." hidden="1">{#N/A,#N/A,FALSE,"P&amp;L"}</definedName>
    <definedName name="wrn.REL." hidden="1">{#N/A,#N/A,FALSE,"SP1-OUT";#N/A,#N/A,FALSE,"SP1-NOV";#N/A,#N/A,FALSE,"SANT-OUT";#N/A,#N/A,FALSE,"SANT-NOV";#N/A,#N/A,FALSE,"CAMP-OUT";#N/A,#N/A,FALSE,"CAMP-NOV";#N/A,#N/A,FALSE,"CRONO 1";#N/A,#N/A,FALSE,"CAPA"}</definedName>
    <definedName name="wrn.RELAT." hidden="1">{#N/A,#N/A,FALSE,"CRONO 0";#N/A,#N/A,FALSE,"CRONO (4)";#N/A,#N/A,FALSE,"CRONO (3)";#N/A,#N/A,FALSE,"CRONO (2)";#N/A,#N/A,FALSE,"CRONO (1)"}</definedName>
    <definedName name="wrn.SKSV." hidden="1">{"SKSV",#N/A,FALSE,"SKSV"}</definedName>
    <definedName name="wrn.SYNTHESIS." hidden="1">{"Synthesis",#N/A,FALSE,"SYNTHESIS"}</definedName>
    <definedName name="wrn.Telet." hidden="1">{#N/A,#N/A,FALSE,"Valuation Summary";#N/A,#N/A,FALSE,"BT IS";#N/A,#N/A,FALSE,"BT CF";#N/A,#N/A,FALSE,"BT BS";#N/A,#N/A,FALSE,"BT FCF";#N/A,#N/A,FALSE,"BT Model";#N/A,#N/A,FALSE,"BT Finance"}</definedName>
    <definedName name="wrn.total." hidden="1">{#N/A,#N/A,TRUE,"Ano";#N/A,#N/A,TRUE,"Ene";#N/A,#N/A,TRUE,"Feb";#N/A,#N/A,TRUE,"Mar";#N/A,#N/A,TRUE,"Abr";#N/A,#N/A,TRUE,"May";#N/A,#N/A,TRUE,"Jun";#N/A,#N/A,TRUE,"Jul";#N/A,#N/A,TRUE,"Ago";#N/A,#N/A,TRUE,"Sep";#N/A,#N/A,TRUE,"Oct";#N/A,#N/A,TRUE,"Nov";#N/A,#N/A,TRUE,"Dic"}</definedName>
    <definedName name="wrn.tre_stringhe." hidden="1">{"tre_stringhe",#N/A,FALSE,"TOT_VET_00";"tre_stringhe",#N/A,FALSE,"TOT_VET_FIAT";"tre_stringhe",#N/A,FALSE,"SEICENTO";"tre_stringhe",#N/A,FALSE,"SEIC+VAN";"tre_stringhe",#N/A,FALSE,"PANDA";"tre_stringhe",#N/A,FALSE,"PANDA+VAN";"tre_stringhe",#N/A,FALSE,"PUNTO";"tre_stringhe",#N/A,FALSE,"188";"tre_stringhe",#N/A,FALSE,"188_BN+VAN";"tre_stringhe",#N/A,FALSE,"PALIO-2V";"tre_stringhe",#N/A,FALSE,"BRAVO_A";"tre_stringhe",#N/A,FALSE,"PALIOWE";"tre_stringhe",#N/A,FALSE,"TIPO2";"tre_stringhe",#N/A,FALSE,"MAREA";"tre_stringhe",#N/A,FALSE,"MAREA+MAR";"tre_stringhe",#N/A,FALSE,"COUPE";"tre_stringhe",#N/A,FALSE,"BARCHETTA";"tre_stringhe",#N/A,FALSE,"MULTIPLA";"tre_stringhe",#N/A,FALSE,"ULYSSE";"tre_stringhe",#N/A,FALSE,"NUO_ULY";"tre_stringhe",#N/A,FALSE,"ULY TOT";"tre_stringhe",#N/A,FALSE,"DOBLO_TOT";"tre_stringhe",#N/A,FALSE,"DOBLO_PERS"}</definedName>
    <definedName name="wrn.VC2._.and._.VC3._.Thunderbird." hidden="1">{#N/A,#N/A,FALSE,"Cover";#N/A,#N/A,FALSE,"Assumptions";#N/A,#N/A,FALSE,"Volumes";#N/A,#N/A,FALSE,"Pricing";#N/A,#N/A,FALSE,"TFLE Walk";#N/A,#N/A,FALSE,"Variable Cost";#N/A,#N/A,FALSE,"Sensitivity";#N/A,#N/A,FALSE,"Investment";#N/A,#N/A,FALSE,"Profitability"}</definedName>
    <definedName name="wrn.WORKING._.CAPITAL._.EARLY._.EOP." hidden="1">{"Working Capital early EOP",#N/A,FALSE,"WORKING CAPITAL"}</definedName>
    <definedName name="wrn.WORKING._.CAPITAL._.FULL._.LIFETIME." hidden="1">{"Working Capital Full Lifetime",#N/A,FALSE,"WORKING CAPITAL"}</definedName>
    <definedName name="wrn.Year._.by._.Country." hidden="1">{#N/A,#N/A,TRUE,"SCR-DCOS 2000";#N/A,#N/A,TRUE,"SCR-DCOS 2001";#N/A,#N/A,TRUE,"SCR-DCOS 2002";#N/A,#N/A,TRUE,"SCR-DCOS 2003"}</definedName>
    <definedName name="wrt" hidden="1">{"main page",#N/A,FALSE,"VENTAS"}</definedName>
    <definedName name="ws" hidden="1">{#N/A,#N/A,TRUE,"SCR-LA 2001";#N/A,#N/A,TRUE,"2001 TOTAL";#N/A,#N/A,TRUE,"2001 Puerto Rico";#N/A,#N/A,TRUE,"2001 Argentina";#N/A,#N/A,TRUE,"2001 Brazil";#N/A,#N/A,TRUE,"2001 Venezuela";#N/A,#N/A,TRUE,"2001 Chile";#N/A,#N/A,TRUE,"2001 Other Latin America"}</definedName>
    <definedName name="WTRF_DP">#REF!</definedName>
    <definedName name="WW" hidden="1">{"due-stringhe_bdg_po",#N/A,FALSE,"TOT_VET_00";"due-stringhe_bdg_po",#N/A,FALSE,"TOT_VET_FIAT";"due-stringhe_bdg_po",#N/A,FALSE,"SEICENTO";"due-stringhe_bdg_po",#N/A,FALSE,"SEIC+VAN";"due-stringhe_bdg_po",#N/A,FALSE,"PANDA";"due-stringhe_bdg_po",#N/A,FALSE,"PANDA+VAN";"due-stringhe_bdg_po",#N/A,FALSE,"PUNTO";"due-stringhe_bdg_po",#N/A,FALSE,"188";"due-stringhe_bdg_po",#N/A,FALSE,"188_BN+VAN";"due-stringhe_bdg_po",#N/A,FALSE,"PALIO-2V";"due-stringhe_bdg_po",#N/A,FALSE,"PALIOWE";"due-stringhe_bdg_po",#N/A,FALSE,"BRAVO_A";"due-stringhe_bdg_po",#N/A,FALSE,"TIPO2";"due-stringhe_bdg_po",#N/A,FALSE,"MAREA";"due-stringhe_bdg_po",#N/A,FALSE,"MAREA+MAR";"due-stringhe_bdg_po",#N/A,FALSE,"COUPE";"due-stringhe_bdg_po",#N/A,FALSE,"BARCHETTA";"due-stringhe_bdg_po",#N/A,FALSE,"MULTIPLA";"due-stringhe_bdg_po",#N/A,FALSE,"ULYSSE";"due-stringhe_bdg_po",#N/A,FALSE,"NUO_ULY";"due-stringhe_bdg_po",#N/A,FALSE,"ULY TOT";"due-stringhe_bdg_po",#N/A,FALSE,"DOBLO_TOT";"due-stringhe_bdg_po",#N/A,FALSE,"DOBLO_PERS"}</definedName>
    <definedName name="WWW" hidden="1">{"main page",#N/A,FALSE,"VENTAS"}</definedName>
    <definedName name="wwwwwwwwwwwwwwwwwwwww" hidden="1">{#N/A,#N/A,TRUE,"EMITI";#N/A,#N/A,TRUE,"XEMITI"}</definedName>
    <definedName name="WXC" hidden="1">{#N/A,#N/A,FALSE,"Profit Status";#N/A,#N/A,FALSE,"Invest";#N/A,#N/A,FALSE,"Revenue";#N/A,#N/A,FALSE,"Variable Cost";#N/A,#N/A,FALSE,"Options &amp; Series"}</definedName>
    <definedName name="X">#REF!</definedName>
    <definedName name="X\SXAWECD" hidden="1">#REF!</definedName>
    <definedName name="xd" hidden="1">{#N/A,#N/A,TRUE,"SCR-LA 2000";#N/A,#N/A,TRUE,"SCR-LA 2001";#N/A,#N/A,TRUE,"SCR-LA 2002";#N/A,#N/A,TRUE,"SCR-LA 2003"}</definedName>
    <definedName name="xdgfewt" hidden="1">{"'Janeiro'!$A$1:$I$153"}</definedName>
    <definedName name="xfyjkxj" hidden="1">{"'BGT2001'!$A$1:$AE$112"}</definedName>
    <definedName name="XGDRXBGSERBG" hidden="1">#REF!</definedName>
    <definedName name="xjl.i" hidden="1">{"'BGT2001'!$A$1:$AE$112"}</definedName>
    <definedName name="XX" hidden="1">{#N/A,#N/A,FALSE,"Sheet1"}</definedName>
    <definedName name="XXX" hidden="1">{"'BGT2001'!$A$1:$AE$112"}</definedName>
    <definedName name="xxxxx" hidden="1">#REF!</definedName>
    <definedName name="XZCXZC" hidden="1">#REF!</definedName>
    <definedName name="XZS" hidden="1">{"'BGT2001'!$A$1:$AE$112"}</definedName>
    <definedName name="y"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YEAR99">#REF!</definedName>
    <definedName name="yh" hidden="1">{#N/A,#N/A,TRUE,"SCR-LA 2000";#N/A,#N/A,TRUE,"SCR-LA 2001";#N/A,#N/A,TRUE,"SCR-LA 2002";#N/A,#N/A,TRUE,"SCR-LA 2003"}</definedName>
    <definedName name="YHYUTYJUYUIKOUIL" hidden="1">#REF!</definedName>
    <definedName name="yt" hidden="1">{#N/A,#N/A,TRUE,"SCR-LA 2000";#N/A,#N/A,TRUE,"SCR-LA 2001";#N/A,#N/A,TRUE,"SCR-LA 2002";#N/A,#N/A,TRUE,"SCR-LA 2003"}</definedName>
    <definedName name="ytjtyj" hidden="1">{"'Janeiro'!$A$1:$I$153"}</definedName>
    <definedName name="ytjuyjuy" hidden="1">{"'Janeiro'!$A$1:$I$153"}</definedName>
    <definedName name="yyy" hidden="1">{"Indices",#N/A,FALSE,"INDICES"}</definedName>
    <definedName name="z">#REF!</definedName>
    <definedName name="z\sdasdas" hidden="1">#REF!</definedName>
    <definedName name="zdfhch" hidden="1">{#N/A,#N/A,TRUE,"Argentina";#N/A,#N/A,TRUE,"Brazil";#N/A,#N/A,TRUE,"Venezuela";#N/A,#N/A,TRUE,"Chile";#N/A,#N/A,TRUE,"Other LA";#N/A,#N/A,TRUE,"Puerto Rico"}</definedName>
    <definedName name="ze" hidden="1">{#N/A,#N/A,FALSE,"Profit Status";#N/A,#N/A,FALSE,"Invest";#N/A,#N/A,FALSE,"Revenue";#N/A,#N/A,FALSE,"Variable Cost";#N/A,#N/A,FALSE,"Options &amp; Series"}</definedName>
    <definedName name="zfdhu6rkvd8u6o5" hidden="1">{"'Janeiro'!$A$1:$I$153"}</definedName>
    <definedName name="ZZZZ" hidden="1">{"'OBT_6M_30_6'!$S$1:$AE$53"}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7" l="1"/>
  <c r="N10" i="3"/>
  <c r="O10" i="3"/>
  <c r="P10" i="3"/>
  <c r="Q10" i="3"/>
  <c r="N38" i="3"/>
  <c r="O38" i="3"/>
  <c r="C57" i="4"/>
  <c r="D57" i="4"/>
  <c r="E57" i="4"/>
  <c r="F57" i="4"/>
  <c r="G57" i="4"/>
  <c r="H57" i="4"/>
  <c r="I57" i="4"/>
  <c r="J57" i="4"/>
  <c r="K57" i="4"/>
  <c r="L57" i="4"/>
  <c r="M57" i="4"/>
  <c r="N57" i="4"/>
  <c r="P33" i="3"/>
  <c r="P38" i="3" s="1"/>
  <c r="M46" i="5" l="1"/>
  <c r="L46" i="5"/>
  <c r="K46" i="5"/>
  <c r="J46" i="5"/>
  <c r="I46" i="5"/>
  <c r="H46" i="5"/>
  <c r="G46" i="5"/>
  <c r="F46" i="5"/>
  <c r="E46" i="5"/>
  <c r="D46" i="5"/>
  <c r="N46" i="5"/>
  <c r="M23" i="5"/>
  <c r="L23" i="5"/>
  <c r="K23" i="5"/>
  <c r="J23" i="5"/>
  <c r="I23" i="5"/>
  <c r="H23" i="5"/>
  <c r="G23" i="5"/>
  <c r="F23" i="5"/>
  <c r="E23" i="5"/>
  <c r="D23" i="5"/>
  <c r="D22" i="5"/>
  <c r="L46" i="3"/>
  <c r="L38" i="3"/>
  <c r="L40" i="3" s="1"/>
  <c r="L32" i="3"/>
  <c r="I36" i="5"/>
  <c r="I38" i="5" s="1"/>
  <c r="AC8" i="8"/>
  <c r="AB8" i="8"/>
  <c r="AA8" i="8"/>
  <c r="Z8" i="8"/>
  <c r="Y8" i="8"/>
  <c r="X8" i="8"/>
  <c r="W8" i="8"/>
  <c r="V8" i="8"/>
  <c r="K27" i="7"/>
  <c r="L22" i="7"/>
  <c r="L30" i="7" s="1"/>
  <c r="K22" i="7"/>
  <c r="K23" i="7" s="1"/>
  <c r="I22" i="7"/>
  <c r="H22" i="7"/>
  <c r="G22" i="7"/>
  <c r="F22" i="7"/>
  <c r="E22" i="7"/>
  <c r="D22" i="7"/>
  <c r="L8" i="7"/>
  <c r="K8" i="7"/>
  <c r="L10" i="6"/>
  <c r="K10" i="6"/>
  <c r="K11" i="6" s="1"/>
  <c r="J10" i="6"/>
  <c r="J12" i="6" s="1"/>
  <c r="I10" i="6"/>
  <c r="I12" i="6" s="1"/>
  <c r="H10" i="6"/>
  <c r="H11" i="6" s="1"/>
  <c r="G10" i="6"/>
  <c r="F10" i="6"/>
  <c r="F12" i="6" s="1"/>
  <c r="E10" i="6"/>
  <c r="E12" i="6" s="1"/>
  <c r="D10" i="6"/>
  <c r="N49" i="5"/>
  <c r="M49" i="5"/>
  <c r="L49" i="5"/>
  <c r="K49" i="5"/>
  <c r="J49" i="5"/>
  <c r="I49" i="5"/>
  <c r="H49" i="5"/>
  <c r="G49" i="5"/>
  <c r="F49" i="5"/>
  <c r="E49" i="5"/>
  <c r="D49" i="5"/>
  <c r="N48" i="5"/>
  <c r="M48" i="5"/>
  <c r="L48" i="5"/>
  <c r="K48" i="5"/>
  <c r="J48" i="5"/>
  <c r="I48" i="5"/>
  <c r="H48" i="5"/>
  <c r="G48" i="5"/>
  <c r="F48" i="5"/>
  <c r="E48" i="5"/>
  <c r="D48" i="5"/>
  <c r="N47" i="5"/>
  <c r="M47" i="5"/>
  <c r="L47" i="5"/>
  <c r="K47" i="5"/>
  <c r="J47" i="5"/>
  <c r="I47" i="5"/>
  <c r="H47" i="5"/>
  <c r="G47" i="5"/>
  <c r="F47" i="5"/>
  <c r="E47" i="5"/>
  <c r="D47" i="5"/>
  <c r="N43" i="5"/>
  <c r="M43" i="5"/>
  <c r="L43" i="5"/>
  <c r="K43" i="5"/>
  <c r="J43" i="5"/>
  <c r="I43" i="5"/>
  <c r="N30" i="5"/>
  <c r="N36" i="5" s="1"/>
  <c r="M30" i="5"/>
  <c r="M36" i="5" s="1"/>
  <c r="L30" i="5"/>
  <c r="L36" i="5" s="1"/>
  <c r="L39" i="5" s="1"/>
  <c r="K30" i="5"/>
  <c r="K36" i="5" s="1"/>
  <c r="J30" i="5"/>
  <c r="J36" i="5" s="1"/>
  <c r="J37" i="5" s="1"/>
  <c r="N14" i="5"/>
  <c r="N41" i="5" s="1"/>
  <c r="M14" i="5"/>
  <c r="M41" i="5" s="1"/>
  <c r="L14" i="5"/>
  <c r="K14" i="5"/>
  <c r="J14" i="5"/>
  <c r="I14" i="5"/>
  <c r="I41" i="5" s="1"/>
  <c r="H14" i="5"/>
  <c r="G14" i="5"/>
  <c r="G41" i="5" s="1"/>
  <c r="F14" i="5"/>
  <c r="F41" i="5" s="1"/>
  <c r="E14" i="5"/>
  <c r="E41" i="5" s="1"/>
  <c r="D14" i="5"/>
  <c r="N4" i="5"/>
  <c r="N22" i="5" s="1"/>
  <c r="M4" i="5"/>
  <c r="L4" i="5"/>
  <c r="L22" i="5" s="1"/>
  <c r="K4" i="5"/>
  <c r="K22" i="5" s="1"/>
  <c r="J4" i="5"/>
  <c r="J22" i="5" s="1"/>
  <c r="I4" i="5"/>
  <c r="I22" i="5" s="1"/>
  <c r="H4" i="5"/>
  <c r="H13" i="5" s="1"/>
  <c r="G4" i="5"/>
  <c r="F4" i="5"/>
  <c r="F13" i="5" s="1"/>
  <c r="E4" i="5"/>
  <c r="E13" i="5" s="1"/>
  <c r="E19" i="5" s="1"/>
  <c r="D4" i="5"/>
  <c r="K37" i="4"/>
  <c r="K31" i="4" s="1"/>
  <c r="K46" i="4" s="1"/>
  <c r="N31" i="4"/>
  <c r="N46" i="4" s="1"/>
  <c r="M31" i="4"/>
  <c r="M46" i="4" s="1"/>
  <c r="L31" i="4"/>
  <c r="L46" i="4" s="1"/>
  <c r="J31" i="4"/>
  <c r="J46" i="4" s="1"/>
  <c r="I31" i="4"/>
  <c r="I46" i="4" s="1"/>
  <c r="H31" i="4"/>
  <c r="H46" i="4" s="1"/>
  <c r="G31" i="4"/>
  <c r="G46" i="4" s="1"/>
  <c r="F31" i="4"/>
  <c r="F46" i="4" s="1"/>
  <c r="E31" i="4"/>
  <c r="E46" i="4" s="1"/>
  <c r="D31" i="4"/>
  <c r="D46" i="4" s="1"/>
  <c r="N28" i="4"/>
  <c r="M28" i="4"/>
  <c r="L28" i="4"/>
  <c r="G9" i="7" s="1"/>
  <c r="K28" i="4"/>
  <c r="J28" i="4"/>
  <c r="E9" i="7" s="1"/>
  <c r="I28" i="4"/>
  <c r="H28" i="4"/>
  <c r="G28" i="4"/>
  <c r="F28" i="4"/>
  <c r="E28" i="4"/>
  <c r="D28" i="4"/>
  <c r="N27" i="4"/>
  <c r="M27" i="4"/>
  <c r="L27" i="4"/>
  <c r="K27" i="4"/>
  <c r="J27" i="4"/>
  <c r="I27" i="4"/>
  <c r="H27" i="4"/>
  <c r="G27" i="4"/>
  <c r="F27" i="4"/>
  <c r="E27" i="4"/>
  <c r="D27" i="4"/>
  <c r="N9" i="4"/>
  <c r="M9" i="4"/>
  <c r="L9" i="7" s="1"/>
  <c r="L9" i="4"/>
  <c r="L24" i="4" s="1"/>
  <c r="K9" i="4"/>
  <c r="K24" i="4" s="1"/>
  <c r="J9" i="4"/>
  <c r="J24" i="4" s="1"/>
  <c r="I9" i="4"/>
  <c r="H9" i="4"/>
  <c r="H24" i="4" s="1"/>
  <c r="G9" i="4"/>
  <c r="G24" i="4" s="1"/>
  <c r="F9" i="4"/>
  <c r="F24" i="4" s="1"/>
  <c r="E9" i="4"/>
  <c r="E24" i="4" s="1"/>
  <c r="D9" i="4"/>
  <c r="D24" i="4" s="1"/>
  <c r="K53" i="3"/>
  <c r="Q53" i="3" s="1"/>
  <c r="K52" i="3"/>
  <c r="Q52" i="3" s="1"/>
  <c r="K50" i="3"/>
  <c r="Q50" i="3" s="1"/>
  <c r="K49" i="3"/>
  <c r="Q49" i="3" s="1"/>
  <c r="K48" i="3"/>
  <c r="Q48" i="3" s="1"/>
  <c r="P46" i="3"/>
  <c r="O46" i="3"/>
  <c r="N46" i="3"/>
  <c r="J46" i="3"/>
  <c r="I46" i="3"/>
  <c r="H46" i="3"/>
  <c r="G46" i="3"/>
  <c r="F46" i="3"/>
  <c r="E46" i="3"/>
  <c r="D46" i="3"/>
  <c r="K45" i="3"/>
  <c r="Q45" i="3" s="1"/>
  <c r="K44" i="3"/>
  <c r="Q44" i="3" s="1"/>
  <c r="K43" i="3"/>
  <c r="Q43" i="3" s="1"/>
  <c r="K42" i="3"/>
  <c r="Q42" i="3" s="1"/>
  <c r="K41" i="3"/>
  <c r="Q41" i="3" s="1"/>
  <c r="Q46" i="3" s="1"/>
  <c r="K39" i="3"/>
  <c r="Q39" i="3" s="1"/>
  <c r="P40" i="3"/>
  <c r="O40" i="3"/>
  <c r="N40" i="3"/>
  <c r="H38" i="3"/>
  <c r="H40" i="3" s="1"/>
  <c r="K37" i="3"/>
  <c r="Q37" i="3" s="1"/>
  <c r="K36" i="3"/>
  <c r="Q36" i="3" s="1"/>
  <c r="J38" i="3"/>
  <c r="J40" i="3" s="1"/>
  <c r="G35" i="3"/>
  <c r="G38" i="3" s="1"/>
  <c r="G40" i="3" s="1"/>
  <c r="F35" i="3"/>
  <c r="F38" i="3" s="1"/>
  <c r="F40" i="3" s="1"/>
  <c r="E35" i="3"/>
  <c r="E38" i="3" s="1"/>
  <c r="E40" i="3" s="1"/>
  <c r="D35" i="3"/>
  <c r="D38" i="3" s="1"/>
  <c r="D40" i="3" s="1"/>
  <c r="K33" i="3"/>
  <c r="P32" i="3"/>
  <c r="O32" i="3"/>
  <c r="N32" i="3"/>
  <c r="J32" i="3"/>
  <c r="I32" i="3"/>
  <c r="H32" i="3"/>
  <c r="G32" i="3"/>
  <c r="F32" i="3"/>
  <c r="E32" i="3"/>
  <c r="D32" i="3"/>
  <c r="Q18" i="3"/>
  <c r="P18" i="3"/>
  <c r="O18" i="3"/>
  <c r="N18" i="3"/>
  <c r="L18" i="3"/>
  <c r="K18" i="3"/>
  <c r="J18" i="3"/>
  <c r="I18" i="3"/>
  <c r="H18" i="3"/>
  <c r="G18" i="3"/>
  <c r="F18" i="3"/>
  <c r="E18" i="3"/>
  <c r="D18" i="3"/>
  <c r="Q12" i="3"/>
  <c r="L18" i="7" s="1"/>
  <c r="L19" i="7" s="1"/>
  <c r="P12" i="3"/>
  <c r="N12" i="3"/>
  <c r="L10" i="3"/>
  <c r="K10" i="3"/>
  <c r="K12" i="3" s="1"/>
  <c r="J10" i="3"/>
  <c r="J12" i="3" s="1"/>
  <c r="I10" i="3"/>
  <c r="I12" i="3" s="1"/>
  <c r="H10" i="3"/>
  <c r="G10" i="3"/>
  <c r="F10" i="3"/>
  <c r="E10" i="3"/>
  <c r="D10" i="3"/>
  <c r="D12" i="3" s="1"/>
  <c r="L6" i="3"/>
  <c r="K6" i="3"/>
  <c r="Q34" i="3" s="1"/>
  <c r="J6" i="3"/>
  <c r="I6" i="3"/>
  <c r="H6" i="3"/>
  <c r="G6" i="3"/>
  <c r="F6" i="3"/>
  <c r="E6" i="3"/>
  <c r="D6" i="3"/>
  <c r="Q4" i="3"/>
  <c r="P4" i="3"/>
  <c r="O4" i="3"/>
  <c r="N4" i="3"/>
  <c r="L4" i="3"/>
  <c r="I30" i="7" s="1"/>
  <c r="K4" i="3"/>
  <c r="H30" i="7" s="1"/>
  <c r="J4" i="3"/>
  <c r="G30" i="7" s="1"/>
  <c r="I4" i="3"/>
  <c r="F30" i="7" s="1"/>
  <c r="H4" i="3"/>
  <c r="E30" i="7" s="1"/>
  <c r="G4" i="3"/>
  <c r="D30" i="7" s="1"/>
  <c r="F4" i="3"/>
  <c r="E4" i="3"/>
  <c r="D4" i="3"/>
  <c r="F14" i="6" l="1"/>
  <c r="E11" i="6"/>
  <c r="E13" i="6" s="1"/>
  <c r="K29" i="7"/>
  <c r="K28" i="7"/>
  <c r="L29" i="7"/>
  <c r="L28" i="7"/>
  <c r="H42" i="5"/>
  <c r="D41" i="5"/>
  <c r="F15" i="5"/>
  <c r="H19" i="5"/>
  <c r="H15" i="5"/>
  <c r="H18" i="5"/>
  <c r="E27" i="5"/>
  <c r="E15" i="5"/>
  <c r="E22" i="5"/>
  <c r="D14" i="6"/>
  <c r="D47" i="3"/>
  <c r="E47" i="3"/>
  <c r="N47" i="3"/>
  <c r="I38" i="3"/>
  <c r="I40" i="3" s="1"/>
  <c r="I51" i="3" s="1"/>
  <c r="I55" i="3" s="1"/>
  <c r="Q35" i="3"/>
  <c r="Q33" i="3" s="1"/>
  <c r="K20" i="7"/>
  <c r="K21" i="7" s="1"/>
  <c r="K18" i="7"/>
  <c r="K19" i="7" s="1"/>
  <c r="L20" i="7"/>
  <c r="L21" i="7" s="1"/>
  <c r="L59" i="4"/>
  <c r="L18" i="5"/>
  <c r="M22" i="5"/>
  <c r="E42" i="5"/>
  <c r="F42" i="5"/>
  <c r="F27" i="5"/>
  <c r="F19" i="5"/>
  <c r="E18" i="5"/>
  <c r="E20" i="5" s="1"/>
  <c r="F22" i="5"/>
  <c r="H27" i="5"/>
  <c r="F18" i="5"/>
  <c r="F20" i="5" s="1"/>
  <c r="G22" i="5"/>
  <c r="H22" i="5"/>
  <c r="H12" i="6"/>
  <c r="I37" i="5"/>
  <c r="L38" i="5"/>
  <c r="L37" i="5"/>
  <c r="K37" i="5"/>
  <c r="K38" i="5"/>
  <c r="K39" i="5"/>
  <c r="M39" i="5"/>
  <c r="M37" i="5"/>
  <c r="M38" i="5"/>
  <c r="N39" i="5"/>
  <c r="N37" i="5"/>
  <c r="N38" i="5"/>
  <c r="J39" i="5"/>
  <c r="J38" i="5"/>
  <c r="I39" i="5"/>
  <c r="P23" i="3"/>
  <c r="P27" i="3" s="1"/>
  <c r="K24" i="7" s="1"/>
  <c r="K19" i="3"/>
  <c r="I23" i="3"/>
  <c r="F25" i="7" s="1"/>
  <c r="E23" i="7"/>
  <c r="F23" i="7"/>
  <c r="L51" i="3"/>
  <c r="L55" i="3" s="1"/>
  <c r="L47" i="3"/>
  <c r="D13" i="5"/>
  <c r="D15" i="5" s="1"/>
  <c r="F26" i="7"/>
  <c r="K59" i="4"/>
  <c r="H17" i="7"/>
  <c r="H59" i="4"/>
  <c r="I59" i="4"/>
  <c r="K30" i="7"/>
  <c r="M13" i="5"/>
  <c r="M18" i="5" s="1"/>
  <c r="I9" i="7"/>
  <c r="M59" i="4"/>
  <c r="I17" i="7"/>
  <c r="D26" i="7"/>
  <c r="E59" i="4"/>
  <c r="F59" i="4"/>
  <c r="D8" i="7"/>
  <c r="J59" i="4"/>
  <c r="G59" i="4"/>
  <c r="Q19" i="3"/>
  <c r="E51" i="3"/>
  <c r="E55" i="3" s="1"/>
  <c r="K46" i="3"/>
  <c r="H12" i="7"/>
  <c r="P19" i="3"/>
  <c r="K32" i="3"/>
  <c r="K38" i="3"/>
  <c r="K23" i="3"/>
  <c r="N51" i="3"/>
  <c r="N55" i="3" s="1"/>
  <c r="J51" i="3"/>
  <c r="J55" i="3" s="1"/>
  <c r="D51" i="3"/>
  <c r="D55" i="3" s="1"/>
  <c r="D11" i="7"/>
  <c r="G23" i="7"/>
  <c r="H23" i="7"/>
  <c r="I23" i="7"/>
  <c r="G47" i="3"/>
  <c r="G51" i="3"/>
  <c r="G55" i="3" s="1"/>
  <c r="E26" i="7"/>
  <c r="E8" i="7"/>
  <c r="F13" i="7"/>
  <c r="E12" i="7"/>
  <c r="D19" i="3"/>
  <c r="D23" i="3"/>
  <c r="D27" i="3" s="1"/>
  <c r="P51" i="3"/>
  <c r="P55" i="3" s="1"/>
  <c r="P47" i="3"/>
  <c r="K41" i="5"/>
  <c r="F9" i="7"/>
  <c r="G16" i="7"/>
  <c r="G17" i="7"/>
  <c r="F17" i="7"/>
  <c r="F16" i="7"/>
  <c r="L41" i="5"/>
  <c r="G13" i="5"/>
  <c r="K9" i="7"/>
  <c r="I24" i="4"/>
  <c r="F51" i="3"/>
  <c r="F55" i="3" s="1"/>
  <c r="F47" i="3"/>
  <c r="I13" i="5"/>
  <c r="D27" i="7" s="1"/>
  <c r="L11" i="6"/>
  <c r="L12" i="6"/>
  <c r="E14" i="7"/>
  <c r="E10" i="7"/>
  <c r="E15" i="7"/>
  <c r="D15" i="7"/>
  <c r="F14" i="7"/>
  <c r="F15" i="7"/>
  <c r="F10" i="7"/>
  <c r="F11" i="7"/>
  <c r="E12" i="3"/>
  <c r="E11" i="7"/>
  <c r="G15" i="7"/>
  <c r="G14" i="7"/>
  <c r="D12" i="7"/>
  <c r="G12" i="3"/>
  <c r="D16" i="7"/>
  <c r="G10" i="7"/>
  <c r="D17" i="7"/>
  <c r="D13" i="7"/>
  <c r="G11" i="7"/>
  <c r="F12" i="3"/>
  <c r="H51" i="3"/>
  <c r="H55" i="3" s="1"/>
  <c r="H47" i="3"/>
  <c r="D59" i="4"/>
  <c r="O47" i="3"/>
  <c r="O51" i="3"/>
  <c r="O55" i="3" s="1"/>
  <c r="I47" i="3"/>
  <c r="L14" i="7"/>
  <c r="L16" i="7" s="1"/>
  <c r="D9" i="7"/>
  <c r="K14" i="7"/>
  <c r="K16" i="7" s="1"/>
  <c r="J41" i="5"/>
  <c r="I14" i="7"/>
  <c r="H11" i="7"/>
  <c r="N23" i="3"/>
  <c r="N27" i="3" s="1"/>
  <c r="N19" i="3"/>
  <c r="G8" i="7"/>
  <c r="G26" i="7"/>
  <c r="H13" i="7"/>
  <c r="K13" i="5"/>
  <c r="K25" i="7"/>
  <c r="J47" i="3"/>
  <c r="H26" i="7"/>
  <c r="L13" i="5"/>
  <c r="J13" i="5"/>
  <c r="F18" i="7"/>
  <c r="F20" i="7"/>
  <c r="I19" i="3"/>
  <c r="H9" i="7"/>
  <c r="N24" i="4"/>
  <c r="M24" i="4"/>
  <c r="I26" i="7"/>
  <c r="I8" i="7"/>
  <c r="G12" i="7"/>
  <c r="L12" i="3"/>
  <c r="I21" i="7" s="1"/>
  <c r="I16" i="7"/>
  <c r="I13" i="7"/>
  <c r="N59" i="4"/>
  <c r="N13" i="5"/>
  <c r="G12" i="6"/>
  <c r="G11" i="6"/>
  <c r="H13" i="6"/>
  <c r="I12" i="7"/>
  <c r="H16" i="7"/>
  <c r="O12" i="3"/>
  <c r="Q23" i="3"/>
  <c r="L25" i="7" s="1"/>
  <c r="I11" i="6"/>
  <c r="I13" i="6" s="1"/>
  <c r="K15" i="7"/>
  <c r="K17" i="7" s="1"/>
  <c r="H41" i="5"/>
  <c r="J11" i="6"/>
  <c r="J13" i="6" s="1"/>
  <c r="D14" i="7"/>
  <c r="D10" i="7"/>
  <c r="L10" i="7"/>
  <c r="L12" i="7" s="1"/>
  <c r="L15" i="7"/>
  <c r="L17" i="7" s="1"/>
  <c r="L11" i="7"/>
  <c r="L13" i="7" s="1"/>
  <c r="K10" i="7"/>
  <c r="K12" i="7" s="1"/>
  <c r="N23" i="5"/>
  <c r="K12" i="6"/>
  <c r="K13" i="6" s="1"/>
  <c r="G13" i="7"/>
  <c r="J23" i="3"/>
  <c r="J19" i="3"/>
  <c r="G18" i="7"/>
  <c r="G20" i="7"/>
  <c r="E17" i="7"/>
  <c r="H14" i="7"/>
  <c r="E13" i="7"/>
  <c r="H15" i="7"/>
  <c r="H10" i="7"/>
  <c r="I15" i="7"/>
  <c r="I10" i="7"/>
  <c r="I11" i="7"/>
  <c r="H12" i="3"/>
  <c r="H21" i="7" s="1"/>
  <c r="D11" i="6"/>
  <c r="D12" i="6"/>
  <c r="H18" i="7"/>
  <c r="K40" i="3"/>
  <c r="F11" i="6"/>
  <c r="F13" i="6" s="1"/>
  <c r="E16" i="7"/>
  <c r="H20" i="7"/>
  <c r="L23" i="7"/>
  <c r="L24" i="7"/>
  <c r="F12" i="7"/>
  <c r="D23" i="7"/>
  <c r="F8" i="7"/>
  <c r="H8" i="7"/>
  <c r="K11" i="7"/>
  <c r="K13" i="7" s="1"/>
  <c r="Q32" i="3" l="1"/>
  <c r="Q38" i="3"/>
  <c r="Q40" i="3" s="1"/>
  <c r="K15" i="5"/>
  <c r="G28" i="7"/>
  <c r="G27" i="7"/>
  <c r="G29" i="7"/>
  <c r="I14" i="6"/>
  <c r="M15" i="5"/>
  <c r="K14" i="6"/>
  <c r="I42" i="5"/>
  <c r="I15" i="5"/>
  <c r="E27" i="7"/>
  <c r="G14" i="6"/>
  <c r="E29" i="7"/>
  <c r="E28" i="7"/>
  <c r="D29" i="7"/>
  <c r="G15" i="5"/>
  <c r="E14" i="6"/>
  <c r="D28" i="7"/>
  <c r="J15" i="5"/>
  <c r="H14" i="6"/>
  <c r="F27" i="7"/>
  <c r="F29" i="7"/>
  <c r="F28" i="7"/>
  <c r="L42" i="5"/>
  <c r="L15" i="5"/>
  <c r="H27" i="7"/>
  <c r="H29" i="7"/>
  <c r="J14" i="6"/>
  <c r="H28" i="7"/>
  <c r="H20" i="5"/>
  <c r="D21" i="7"/>
  <c r="N15" i="5"/>
  <c r="I27" i="7"/>
  <c r="L14" i="6"/>
  <c r="I29" i="7"/>
  <c r="I28" i="7"/>
  <c r="N18" i="5"/>
  <c r="D18" i="5"/>
  <c r="D19" i="5"/>
  <c r="D42" i="5"/>
  <c r="D27" i="5"/>
  <c r="N19" i="5"/>
  <c r="N27" i="5"/>
  <c r="N42" i="5"/>
  <c r="G19" i="5"/>
  <c r="G27" i="5"/>
  <c r="K27" i="5"/>
  <c r="K18" i="5"/>
  <c r="K19" i="5"/>
  <c r="J27" i="5"/>
  <c r="J18" i="5"/>
  <c r="J19" i="5"/>
  <c r="I19" i="5"/>
  <c r="I27" i="5"/>
  <c r="I18" i="5"/>
  <c r="M42" i="5"/>
  <c r="M27" i="5"/>
  <c r="M19" i="5"/>
  <c r="M20" i="5" s="1"/>
  <c r="L19" i="5"/>
  <c r="L20" i="5" s="1"/>
  <c r="L27" i="5"/>
  <c r="G18" i="5"/>
  <c r="K42" i="5"/>
  <c r="G42" i="5"/>
  <c r="J42" i="5"/>
  <c r="I27" i="3"/>
  <c r="K27" i="3"/>
  <c r="H7" i="7" s="1"/>
  <c r="H25" i="7"/>
  <c r="I20" i="7"/>
  <c r="D13" i="6"/>
  <c r="E21" i="7"/>
  <c r="E19" i="7"/>
  <c r="E19" i="3"/>
  <c r="E23" i="3"/>
  <c r="E27" i="3" s="1"/>
  <c r="I19" i="7"/>
  <c r="G25" i="7"/>
  <c r="J27" i="3"/>
  <c r="L26" i="7"/>
  <c r="F21" i="7"/>
  <c r="F19" i="7"/>
  <c r="F23" i="3"/>
  <c r="F27" i="3" s="1"/>
  <c r="F19" i="3"/>
  <c r="L13" i="6"/>
  <c r="G13" i="6"/>
  <c r="G19" i="7"/>
  <c r="D18" i="7"/>
  <c r="G19" i="3"/>
  <c r="G21" i="7"/>
  <c r="D20" i="7"/>
  <c r="G23" i="3"/>
  <c r="L19" i="3"/>
  <c r="I18" i="7"/>
  <c r="L23" i="3"/>
  <c r="H19" i="7"/>
  <c r="H23" i="3"/>
  <c r="E18" i="7"/>
  <c r="H19" i="3"/>
  <c r="E20" i="7"/>
  <c r="K47" i="3"/>
  <c r="K51" i="3"/>
  <c r="K55" i="3" s="1"/>
  <c r="O19" i="3"/>
  <c r="O23" i="3"/>
  <c r="O27" i="3" s="1"/>
  <c r="K26" i="7"/>
  <c r="D19" i="7"/>
  <c r="Q47" i="3" l="1"/>
  <c r="Q51" i="3"/>
  <c r="Q55" i="3" s="1"/>
  <c r="K20" i="5"/>
  <c r="I20" i="5"/>
  <c r="J20" i="5"/>
  <c r="G20" i="5"/>
  <c r="D20" i="5"/>
  <c r="F6" i="7"/>
  <c r="F7" i="7"/>
  <c r="F24" i="7"/>
  <c r="H6" i="7"/>
  <c r="H24" i="7"/>
  <c r="I25" i="7"/>
  <c r="L27" i="3"/>
  <c r="D25" i="7"/>
  <c r="G27" i="3"/>
  <c r="D5" i="7" s="1"/>
  <c r="H27" i="3"/>
  <c r="E25" i="7"/>
  <c r="G7" i="7"/>
  <c r="G24" i="7"/>
  <c r="G6" i="7"/>
  <c r="I4" i="7" l="1"/>
  <c r="I5" i="7"/>
  <c r="I6" i="7"/>
  <c r="I7" i="7"/>
  <c r="D24" i="7"/>
  <c r="D7" i="7"/>
  <c r="G4" i="7"/>
  <c r="D6" i="7"/>
  <c r="G5" i="7"/>
  <c r="F5" i="7"/>
  <c r="E4" i="7"/>
  <c r="F4" i="7"/>
  <c r="K5" i="7"/>
  <c r="K7" i="7" s="1"/>
  <c r="E5" i="7"/>
  <c r="N20" i="5"/>
  <c r="H4" i="7"/>
  <c r="H5" i="7"/>
  <c r="E24" i="7"/>
  <c r="L4" i="7"/>
  <c r="L6" i="7" s="1"/>
  <c r="E6" i="7"/>
  <c r="E7" i="7"/>
  <c r="L5" i="7"/>
  <c r="L7" i="7" s="1"/>
  <c r="K4" i="7"/>
  <c r="K6" i="7" s="1"/>
  <c r="I24" i="7"/>
  <c r="D4" i="7"/>
</calcChain>
</file>

<file path=xl/sharedStrings.xml><?xml version="1.0" encoding="utf-8"?>
<sst xmlns="http://schemas.openxmlformats.org/spreadsheetml/2006/main" count="625" uniqueCount="363">
  <si>
    <t>Securities</t>
  </si>
  <si>
    <t>Compulsory deposits with the Brazilian Central Bank</t>
  </si>
  <si>
    <t>Loans to customers</t>
  </si>
  <si>
    <t>Right-of-use assets</t>
  </si>
  <si>
    <t>Funds from acceptances and issuance of securities</t>
  </si>
  <si>
    <t>Debt issued and other borrowed funds</t>
  </si>
  <si>
    <t>Investment securities</t>
  </si>
  <si>
    <t>Debentures (from Repurchase Agreements)</t>
  </si>
  <si>
    <t>Derivatives</t>
  </si>
  <si>
    <t>Lease liabilities</t>
  </si>
  <si>
    <t>Deferred tax liabilities</t>
  </si>
  <si>
    <t>Share capital</t>
  </si>
  <si>
    <t>Treasury shares</t>
  </si>
  <si>
    <t>Reserves</t>
  </si>
  <si>
    <t>Retained earnings</t>
  </si>
  <si>
    <t>MENU</t>
  </si>
  <si>
    <t>P&amp;L</t>
  </si>
  <si>
    <t>1Q24</t>
  </si>
  <si>
    <t>2Q24</t>
  </si>
  <si>
    <t>3Q24</t>
  </si>
  <si>
    <t>4Q24</t>
  </si>
  <si>
    <t>1Q25</t>
  </si>
  <si>
    <t>2Q25</t>
  </si>
  <si>
    <t>3Q25</t>
  </si>
  <si>
    <t>4Q25</t>
  </si>
  <si>
    <t>1Q26</t>
  </si>
  <si>
    <t>Total Revenues</t>
  </si>
  <si>
    <t>Interest Revenues</t>
  </si>
  <si>
    <t>Interest on Cash</t>
  </si>
  <si>
    <t>Interest from Loan Operations</t>
  </si>
  <si>
    <t>Interest expense using the effective interest method</t>
  </si>
  <si>
    <t>Gains (losses) on financial assets at fair value through profit or loss</t>
  </si>
  <si>
    <t>Net interest income</t>
  </si>
  <si>
    <t>Commissions, banking fees and other revenues from services</t>
  </si>
  <si>
    <t>Operating revenues</t>
  </si>
  <si>
    <r>
      <t>Allowance for loan</t>
    </r>
    <r>
      <rPr>
        <sz val="12"/>
        <color rgb="FF000000"/>
        <rFont val="Century Gothic"/>
        <family val="2"/>
      </rPr>
      <t xml:space="preserve"> losses</t>
    </r>
  </si>
  <si>
    <t>Personnel expenses</t>
  </si>
  <si>
    <t>Selling, general and administrative expenses</t>
  </si>
  <si>
    <t>Tax expenses</t>
  </si>
  <si>
    <t>Depreciation and amortization</t>
  </si>
  <si>
    <t>Operating expenses</t>
  </si>
  <si>
    <t>Net Operating Income</t>
  </si>
  <si>
    <t>Profit (loss) on derecognition of financial assets</t>
  </si>
  <si>
    <t>Other income (expenses), net</t>
  </si>
  <si>
    <t>Equity equivalence results</t>
  </si>
  <si>
    <t>Earnings Before Taxes</t>
  </si>
  <si>
    <t>Current income tax and social contribution</t>
  </si>
  <si>
    <t>Deferred income tax and social contribution</t>
  </si>
  <si>
    <t>Profit from discontinued operations</t>
  </si>
  <si>
    <t>Net income</t>
  </si>
  <si>
    <t>Attributable to the owners of the parent company</t>
  </si>
  <si>
    <t>Attributable to non-controlling interests</t>
  </si>
  <si>
    <t>Recurring P&amp;L*</t>
  </si>
  <si>
    <t>Excludes non-recurring effects from 4Q25 Income related to the adjustments made in the civil lawsuits provisions model, impacting ‘Selling, General and Administrative Expenses’, and therefore reducing Earnings Before Taxes. This also caused a positive impact on ‘Deferred income tax and social contribution,’ when removing 45% tax rate from the figure added to ‘Selling, General and Administrative Expenses’, coming to R$161.8mm recurring Net Income for 4Q25. There is no impact in 1Q26 and 1Q25 P&amp;L.</t>
  </si>
  <si>
    <t>BALANCE SHEET (R$ thousands)</t>
  </si>
  <si>
    <t>ASSETS</t>
  </si>
  <si>
    <t>Cash and cash and equivalents</t>
  </si>
  <si>
    <t>Financial Assets Measured At Fair Value Through Profit Or Loss</t>
  </si>
  <si>
    <t>Derivative</t>
  </si>
  <si>
    <t>Others</t>
  </si>
  <si>
    <t>Financial Assets Measured At Fair Value Through Other Comprehensive Income</t>
  </si>
  <si>
    <t>Financial Assets Measured At Amortized Cost</t>
  </si>
  <si>
    <t>Debenture</t>
  </si>
  <si>
    <t>(-) Provision for Expected Loss</t>
  </si>
  <si>
    <t>Assets held for sale</t>
  </si>
  <si>
    <t>Deferred Tax Assets</t>
  </si>
  <si>
    <t xml:space="preserve">Property and Equipment </t>
  </si>
  <si>
    <t>Intangible Assets</t>
  </si>
  <si>
    <t>Investment in affiliates</t>
  </si>
  <si>
    <t>Other Assets</t>
  </si>
  <si>
    <t>Total Assets</t>
  </si>
  <si>
    <t>Interest Bearing Assets</t>
  </si>
  <si>
    <t>Interest Bearing Assets - Adjusted without Debentures</t>
  </si>
  <si>
    <t>LIABILITIES</t>
  </si>
  <si>
    <t>Financial Liabilities At Amortized Cost</t>
  </si>
  <si>
    <t>Demand customer deposits</t>
  </si>
  <si>
    <t>Time customer deposits</t>
  </si>
  <si>
    <t>Loans and borrowing LP</t>
  </si>
  <si>
    <t>Provision For Contingencies</t>
  </si>
  <si>
    <t>Liabilities associated with assets held for sale</t>
  </si>
  <si>
    <t>Other Liabilities</t>
  </si>
  <si>
    <t>Liabilities related to credit assigments</t>
  </si>
  <si>
    <t>Total Liabilities</t>
  </si>
  <si>
    <t>EQUITY</t>
  </si>
  <si>
    <t>Share premium reserve</t>
  </si>
  <si>
    <t>Equity fair value adjustments</t>
  </si>
  <si>
    <t>Other Comprehensive income</t>
  </si>
  <si>
    <t>Total Equity</t>
  </si>
  <si>
    <t>Total Liabilities and Equity</t>
  </si>
  <si>
    <t>Payroll loans</t>
  </si>
  <si>
    <t>INSS</t>
  </si>
  <si>
    <t>Public</t>
  </si>
  <si>
    <t>Private</t>
  </si>
  <si>
    <t>Personal credit loans</t>
  </si>
  <si>
    <t>FGTS</t>
  </si>
  <si>
    <t>Payroll credit card loans</t>
  </si>
  <si>
    <t>Credit card loans</t>
  </si>
  <si>
    <t>Subtotal</t>
  </si>
  <si>
    <t>Net Loans</t>
  </si>
  <si>
    <t>Secured Loans</t>
  </si>
  <si>
    <t>Unsecured Loans</t>
  </si>
  <si>
    <t>Total</t>
  </si>
  <si>
    <t>Carteira em atraso &gt;90 dias</t>
  </si>
  <si>
    <t>Carteira em atraso &gt;90 dias (%)</t>
  </si>
  <si>
    <t>Carteira por Estágio</t>
  </si>
  <si>
    <t>Estágio 1</t>
  </si>
  <si>
    <t>Estágio 2</t>
  </si>
  <si>
    <t>Estágio 3</t>
  </si>
  <si>
    <t>Rating E-H</t>
  </si>
  <si>
    <t>Coverage Ratio</t>
  </si>
  <si>
    <t>Provisions / Gross Loans</t>
  </si>
  <si>
    <t>Cost of Credit</t>
  </si>
  <si>
    <t>Market Shares</t>
  </si>
  <si>
    <t>Time customer deposits (CDB)</t>
  </si>
  <si>
    <t>DPGE</t>
  </si>
  <si>
    <t>Colateralized Issuances</t>
  </si>
  <si>
    <t>Foreign Loans</t>
  </si>
  <si>
    <t>Total Funding</t>
  </si>
  <si>
    <t>Retail</t>
  </si>
  <si>
    <t>Institutional</t>
  </si>
  <si>
    <t>Loans to Deposits</t>
  </si>
  <si>
    <t>KPIs</t>
  </si>
  <si>
    <t>ROAE LTM a.a. (%)</t>
  </si>
  <si>
    <t>ROAA LTM a.a. (%)</t>
  </si>
  <si>
    <t>Interest Bearing Assets (R$ mil)</t>
  </si>
  <si>
    <t>Net Interest Margin (NIM) (%)</t>
  </si>
  <si>
    <t>Net Interest Margin after Provisions (%)</t>
  </si>
  <si>
    <t>Net Interest Margin (NIM) (%) - Adjusted without Debentures</t>
  </si>
  <si>
    <t>Net Interest Margin after Provisions (%) - Adjusted without Debentures</t>
  </si>
  <si>
    <t>Operating Efficiency Ratio (OER) (%)</t>
  </si>
  <si>
    <t>Operating Efficiency Ratio (OER) (%) LTM</t>
  </si>
  <si>
    <t>Operating Efficiency Ratio (OER) (%) - Recurring</t>
  </si>
  <si>
    <t>Operating Efficiency Ratio (OER) (%) - Recurring LTM</t>
  </si>
  <si>
    <t>Total Revenues (R$ mil)</t>
  </si>
  <si>
    <t>Average Revenue Per Active Client (ARPAC) (R$ LTM)</t>
  </si>
  <si>
    <t>Net Margin (%)</t>
  </si>
  <si>
    <t>Effective Tax Ratio</t>
  </si>
  <si>
    <t>Leverage (Assets/Equity)</t>
  </si>
  <si>
    <t>Cost of Risk</t>
  </si>
  <si>
    <t>Cost of Risk - LTM</t>
  </si>
  <si>
    <t>Revenue per headcount</t>
  </si>
  <si>
    <t>INDICADORES DE PERFORMANCE</t>
  </si>
  <si>
    <t>OPERACIONAIS</t>
  </si>
  <si>
    <t>Nº de Clientes Ativos</t>
  </si>
  <si>
    <t>Nº de Hubs (Pontos de Atendimento)</t>
  </si>
  <si>
    <t>Nº de Abertura de Pontos de Atendimento</t>
  </si>
  <si>
    <t>Nº de Colaboradores</t>
  </si>
  <si>
    <t>OUTROS</t>
  </si>
  <si>
    <t>Índice de Basileia Prudencial (%)</t>
  </si>
  <si>
    <t>Capital Nível I</t>
  </si>
  <si>
    <t>LCR (%)</t>
  </si>
  <si>
    <t xml:space="preserve">
(1) Em julho de 2022, o BACEN aprovou a alteração da metodologia de cálculo da alocação de capital referente à exposição à riscos operacionais (RWAopad). Assim, apresentamos os índices de 2021 e 2022 de forma ajustada para fins de comparação.</t>
  </si>
  <si>
    <t xml:space="preserve">
(2) O Índice de Basileia de dezembro de 2024 considera o aporte de capital da Lumina Capital Management, aprovado pelo Banco Central em janeiro de 2025.</t>
  </si>
  <si>
    <t>IFRS* A partir de 1º de janeiro de 2025, os bancos passaram a adotar o IFRS 9 em suas demonstrações financeiras. Com isso, a carteira de crédito e as provisões deixam de ser divulgadas por rating e passam a ser apresentadas por estágios de risco de crédito (Estágios 1, 2 e 3), conforme a regulamentação vigente. Para mais detalhes consulte as Notas Explicativas disponíveis em nosso site de Relações com Investidores.</t>
  </si>
  <si>
    <t>CREDIT STAGES</t>
  </si>
  <si>
    <t>Portfolio by Stage</t>
  </si>
  <si>
    <t>Stage1</t>
  </si>
  <si>
    <t>Stage2</t>
  </si>
  <si>
    <t>Stage3</t>
  </si>
  <si>
    <t>Portfolio by Stage (%)</t>
  </si>
  <si>
    <t>CREDIT MIX</t>
  </si>
  <si>
    <t>CREDIT QUALITY</t>
  </si>
  <si>
    <t>Market Outstanding Loans (BACEN)</t>
  </si>
  <si>
    <t>IFRS</t>
  </si>
  <si>
    <t>- FUNDING</t>
  </si>
  <si>
    <t>investors@agi.com.br</t>
  </si>
  <si>
    <t>investors.agiinc.com</t>
  </si>
  <si>
    <t>Non-performing Loans &gt;90 days</t>
  </si>
  <si>
    <t>Non-performing Loans &gt;90 days (%)</t>
  </si>
  <si>
    <r>
      <t xml:space="preserve">CREDIT PORTFOLIO </t>
    </r>
    <r>
      <rPr>
        <b/>
        <i/>
        <sz val="12"/>
        <color theme="0"/>
        <rFont val="Century Gothic"/>
        <family val="2"/>
      </rPr>
      <t>(R$ million)</t>
    </r>
  </si>
  <si>
    <t>Crédito Consignado</t>
  </si>
  <si>
    <t>Público</t>
  </si>
  <si>
    <t xml:space="preserve">Privado </t>
  </si>
  <si>
    <t>Cartão de Crédito Consignado</t>
  </si>
  <si>
    <t>Cartão de Crédito</t>
  </si>
  <si>
    <t>Outros</t>
  </si>
  <si>
    <t>Carteira de Crédito</t>
  </si>
  <si>
    <t>(-) Provisão por perda esperada</t>
  </si>
  <si>
    <t>Carteira de Crédito Líquida</t>
  </si>
  <si>
    <t>Crédito Pessoal</t>
  </si>
  <si>
    <t>CARTEIRA DE CRÉDITO (R$ milhões)</t>
  </si>
  <si>
    <t>MIX DE CARTEIRA</t>
  </si>
  <si>
    <t>Empréstimos com Garantia</t>
  </si>
  <si>
    <t>Empréstimos sem Garantia</t>
  </si>
  <si>
    <t>QUALIDADE DA CARTEIRA DE CRÉDITO</t>
  </si>
  <si>
    <t>CARTEIRA POR ESTÁGIO</t>
  </si>
  <si>
    <t>Carteira por Estágio (%)</t>
  </si>
  <si>
    <t>Índice de Cobertura</t>
  </si>
  <si>
    <t>Provisões / Carteira Bruta</t>
  </si>
  <si>
    <t>Custo de Crédito</t>
  </si>
  <si>
    <t>Privado</t>
  </si>
  <si>
    <t>ATIVOS</t>
  </si>
  <si>
    <t>Caixa e equivalente de caixa</t>
  </si>
  <si>
    <t>Ativos financeiros mensurados ao resultado</t>
  </si>
  <si>
    <t>Derivativos</t>
  </si>
  <si>
    <t>Ativos financeiros mensurados aos resultados abrangentes</t>
  </si>
  <si>
    <t>Ativos financeiros mensurados ao custo amortizado</t>
  </si>
  <si>
    <t>Operações de crédito</t>
  </si>
  <si>
    <t xml:space="preserve">Securitizações </t>
  </si>
  <si>
    <t>Debêntures</t>
  </si>
  <si>
    <t>Depósitos Compulsórios no Banco Central</t>
  </si>
  <si>
    <t>Imobilizado de uso</t>
  </si>
  <si>
    <t>Créditos tributários</t>
  </si>
  <si>
    <t>Intangíveis</t>
  </si>
  <si>
    <t>Investimentos em Filiais</t>
  </si>
  <si>
    <t>Ativos de Direitos de uso</t>
  </si>
  <si>
    <t>Outros ativos</t>
  </si>
  <si>
    <t>Total do Ativo</t>
  </si>
  <si>
    <t>Ativos Remuneráveis</t>
  </si>
  <si>
    <t>Ativos Remuneráveis - Ajustado sem Debêntures</t>
  </si>
  <si>
    <t>Passivos financeiros mensurados ao custo amortizado</t>
  </si>
  <si>
    <t>Depósitos de clientes</t>
  </si>
  <si>
    <t>Recursos de aceites e emissão de títulos</t>
  </si>
  <si>
    <t>Depósitos a prazo</t>
  </si>
  <si>
    <t>Instrumentos de dívida elegíveis a capital</t>
  </si>
  <si>
    <t>Carteira própria de captações no mercado</t>
  </si>
  <si>
    <t>Obrigações por operações compromissadas</t>
  </si>
  <si>
    <t>Securitizações</t>
  </si>
  <si>
    <t>Provisões para contingências</t>
  </si>
  <si>
    <t>Passivos associados a ativos mantidos para venda</t>
  </si>
  <si>
    <t>Outros passivos</t>
  </si>
  <si>
    <t>Obrigações relacionadas a cessões de crédito</t>
  </si>
  <si>
    <t>Arrendamento mercantil</t>
  </si>
  <si>
    <t>Imposto de renda e contribuição social a pagar</t>
  </si>
  <si>
    <t>Total do Passivo</t>
  </si>
  <si>
    <t>PATRIMÔNIO LÍQUIDO</t>
  </si>
  <si>
    <t>Capital Social</t>
  </si>
  <si>
    <t>Reservas</t>
  </si>
  <si>
    <t>Reserva de Capital - Ágio na emissão de ações</t>
  </si>
  <si>
    <t>Lucros/Prejuízos acumulados</t>
  </si>
  <si>
    <t>Ações em Tesouraria</t>
  </si>
  <si>
    <t>Ajuste de Avaliação Patrimonial</t>
  </si>
  <si>
    <t>Outros resultados abrangentes</t>
  </si>
  <si>
    <t>ROAE LTM a.a. (%) - Annualized</t>
  </si>
  <si>
    <t>ROAA LTM a.a. (%) - Annualized</t>
  </si>
  <si>
    <t>Interest Bearing Assets (R$ mil) - Adjusted Without Debentures</t>
  </si>
  <si>
    <t>Net Interest Margin (NIM) (%) - Annualized</t>
  </si>
  <si>
    <t>Net Interest Margin after Provisions (%) - Annualized</t>
  </si>
  <si>
    <t>Net Interest Margin (NIM) (%) - Adjusted without Debentures - Annualized</t>
  </si>
  <si>
    <t>Net Interest Margin after Provisions (%) - Adjusted without Debentures - Annualized</t>
  </si>
  <si>
    <t>Cost of Risk - Annualized</t>
  </si>
  <si>
    <t>Active Clients</t>
  </si>
  <si>
    <t xml:space="preserve">Hubs </t>
  </si>
  <si>
    <t>Opened Hubs</t>
  </si>
  <si>
    <t>Headcount</t>
  </si>
  <si>
    <t>Capital Adequacy Ratio (%)</t>
  </si>
  <si>
    <t>CET 1</t>
  </si>
  <si>
    <t>Receitas Totais (R$ milhões)</t>
  </si>
  <si>
    <t>Receita por Cliente Ativo (ARPAC) (R$)</t>
  </si>
  <si>
    <t>RPE - Receita Por Colaborador (R$)</t>
  </si>
  <si>
    <t>Custo de Crédito - LTM</t>
  </si>
  <si>
    <t>Custo de Crédito - Anualizada</t>
  </si>
  <si>
    <t>Razão de Alavancagem (Ativos/Patrimônio Líquido)</t>
  </si>
  <si>
    <t>Alíquota Efetiva (%)</t>
  </si>
  <si>
    <t>Margem Líquida (%)</t>
  </si>
  <si>
    <t>Índice de Eficiência Operacional (IEO) - Recorrente LTM</t>
  </si>
  <si>
    <t>Índice de Eficiência Operacional (IEO) - Recorrente</t>
  </si>
  <si>
    <t>Índice de Eficiência Operacional (IEO) LTM</t>
  </si>
  <si>
    <t xml:space="preserve">Índice de Eficiência Operacional (IEO) </t>
  </si>
  <si>
    <t>Margem Financeira Líquida após provisões (%) - Ajustada sem Debêntures - Anualizada</t>
  </si>
  <si>
    <t>Margem Financeira Líquida após provisões (%) - Anualizada</t>
  </si>
  <si>
    <t>Margem Financeira Líquida (%) - Ajustada sem Debêntures</t>
  </si>
  <si>
    <t>Margem Financeira Líquida após provisões (%) - Ajustada sem Debêntures</t>
  </si>
  <si>
    <t>Margem Financeira Líquida pós Provisões (%) - Anualizada</t>
  </si>
  <si>
    <t xml:space="preserve">Margem Financeira Líquida (%) - Anualizaada </t>
  </si>
  <si>
    <t xml:space="preserve">Margem Financeira Líquida pós Provisões (%) </t>
  </si>
  <si>
    <t>Margem Financeira Líquida (%)</t>
  </si>
  <si>
    <t>Ativos Remuneráveis (R$ milhões)</t>
  </si>
  <si>
    <t>Ativos Remuneráveis - Ajustado sem Debêntures (R$ milhões)</t>
  </si>
  <si>
    <t>Receitas Totais</t>
  </si>
  <si>
    <t>ROAE LTM a.a. (%) - Anualizado</t>
  </si>
  <si>
    <t>ROAA LTM a.a. (%) - Anualizado</t>
  </si>
  <si>
    <t>Depósitos Totais</t>
  </si>
  <si>
    <t>Varejo</t>
  </si>
  <si>
    <t>Institucional</t>
  </si>
  <si>
    <t>Empréstimo/Depósitos</t>
  </si>
  <si>
    <t>Captações Estrangeiras</t>
  </si>
  <si>
    <t xml:space="preserve">Depósitos a prazo - DPGEs </t>
  </si>
  <si>
    <t>Depósitos a prazo - CDBs</t>
  </si>
  <si>
    <t>Depósitos à vista</t>
  </si>
  <si>
    <t>Emissões Colateralizadas pela Carteira de Crédito</t>
  </si>
  <si>
    <t>Recurring Net income</t>
  </si>
  <si>
    <t>Imposto de renda e contribuição social corrente</t>
  </si>
  <si>
    <t>Imposto de renda e contribuição social diferido</t>
  </si>
  <si>
    <t>Resultado de operações descontinuadas</t>
  </si>
  <si>
    <t>Lucro Líquido Recorrente</t>
  </si>
  <si>
    <t>Lucro Antes dos Impostos</t>
  </si>
  <si>
    <t>Receitas com Juros</t>
  </si>
  <si>
    <t>Receita de Juros</t>
  </si>
  <si>
    <t>Receita de Operações de Crédito</t>
  </si>
  <si>
    <t>Receita de juros calculada pelo método da taxa efetiva de juros</t>
  </si>
  <si>
    <t>Ganhos (perdas) em ativos financeiros ao valor justo por meio do resultado*</t>
  </si>
  <si>
    <t>Resultado de intermediação financeira</t>
  </si>
  <si>
    <t>Comissões e outros serviços</t>
  </si>
  <si>
    <t>Receita operacional</t>
  </si>
  <si>
    <t>Provisões para perda esperada</t>
  </si>
  <si>
    <t>Despesas com pessoal</t>
  </si>
  <si>
    <t>Despesas de venda, gerais e administrativas</t>
  </si>
  <si>
    <t>Despesas tributárias</t>
  </si>
  <si>
    <t>Depreciação e amortização</t>
  </si>
  <si>
    <t>Despesas operacionais</t>
  </si>
  <si>
    <t>Resultado Operacional</t>
  </si>
  <si>
    <t>Outras receitas (despesas), líquidas</t>
  </si>
  <si>
    <t>Resultado na baixa de ativos financeiros</t>
  </si>
  <si>
    <t>Lucro Líquido</t>
  </si>
  <si>
    <t>Atribuído aos acionistas controladores</t>
  </si>
  <si>
    <t>Atribuído aos acionistas não controladores</t>
  </si>
  <si>
    <t>Resultado de equivalência patrimonial</t>
  </si>
  <si>
    <t>DRE</t>
  </si>
  <si>
    <t>DRE RECORRENTE</t>
  </si>
  <si>
    <t>PASSIVO</t>
  </si>
  <si>
    <t>Total do Passivo e Patrimonio Líquido</t>
  </si>
  <si>
    <t>(1) In July 2022, the Central Bank of Brazil (BACEN) approved a change in the methodology for calculating capital allocation related to operational risk exposure (RWAopad). Accordingly, the 2021 and 2022 ratios are presented on an adjusted basis for comparability purposes.</t>
  </si>
  <si>
    <t>(2) The Basel Capital Ratio as of December 2024 considers the capital contribution from Lumina Capital Management, which was approved by the Central Bank in January 2025.</t>
  </si>
  <si>
    <t>PERFORMANCE INDICATORS</t>
  </si>
  <si>
    <t>OPERACIONAL</t>
  </si>
  <si>
    <t>OTHERS</t>
  </si>
  <si>
    <t>BALANÇO PATRIMONIAL (R$ mil)</t>
  </si>
  <si>
    <t>Reconciliação do Lucro Líquido Recorrente e do Lucro Antes dos Impostos Recorrente com o Lucro Líquido e o Lucro Antes dos Impostos. Exclui os efeitos não recorrentes do resultado do 4T25 relacionados aos ajustes realizados no modelo de provisões para ações cíveis, que impactaram a linha de “Despesas de Vendas, Gerais e Administrativas” e, consequentemente, reduziram o Resultado Operacional. Esse ajuste também gerou um impacto positivo na linha de “Imposto de renda e contribuição social diferidos”, ao se excluir a alíquota de 45% sobre o montante adicionado às Despesas de Vendas, Gerais e Administrativas, resultando em um Lucro Líquido recorrente de R$ 161,8 milhões no 4T25. Não há impacto nas demonstrações de resultado do 1T26 e do 1T25.</t>
  </si>
  <si>
    <t>Financial Bills + Interbank Deposits</t>
  </si>
  <si>
    <t>Letras Financeiras + Depósitos Interbancários</t>
  </si>
  <si>
    <t>Other Non - Controlling Interests</t>
  </si>
  <si>
    <t>Outras Participações de acionistas não controladores</t>
  </si>
  <si>
    <r>
      <t xml:space="preserve">FUNDING PORTFOLIO </t>
    </r>
    <r>
      <rPr>
        <b/>
        <i/>
        <sz val="12"/>
        <color theme="0"/>
        <rFont val="Century Gothic"/>
        <family val="2"/>
      </rPr>
      <t>(R$ million)</t>
    </r>
  </si>
  <si>
    <t>CARTEIRA DE FUNDING (R$ milhões)</t>
  </si>
  <si>
    <t>INSS Payroll Loans</t>
  </si>
  <si>
    <t>Public Payroll Loans</t>
  </si>
  <si>
    <t>Private Payroll Loans</t>
  </si>
  <si>
    <t>Unsecured Personal Credit Loans</t>
  </si>
  <si>
    <t>SÉRIES HISTÓRICAS</t>
  </si>
  <si>
    <t>ÍNDICE</t>
  </si>
  <si>
    <t>- BALANÇO PATRIMONIAL</t>
  </si>
  <si>
    <t>- DRE</t>
  </si>
  <si>
    <t>- CARTEIRA DE CRÉDITO</t>
  </si>
  <si>
    <t>- INDICADORES</t>
  </si>
  <si>
    <t>- OPERACIONAIS</t>
  </si>
  <si>
    <t>4T24</t>
  </si>
  <si>
    <t>1T25</t>
  </si>
  <si>
    <t>2T25</t>
  </si>
  <si>
    <t>3T25</t>
  </si>
  <si>
    <t>4T25</t>
  </si>
  <si>
    <t>1T26</t>
  </si>
  <si>
    <t>4T19</t>
  </si>
  <si>
    <t>1T20</t>
  </si>
  <si>
    <t>2T20</t>
  </si>
  <si>
    <t>3T20</t>
  </si>
  <si>
    <t>4T20</t>
  </si>
  <si>
    <t>1T21</t>
  </si>
  <si>
    <t>2T21</t>
  </si>
  <si>
    <t>3T21</t>
  </si>
  <si>
    <t>4T21</t>
  </si>
  <si>
    <t>1T22</t>
  </si>
  <si>
    <t>2T22</t>
  </si>
  <si>
    <t>3T22</t>
  </si>
  <si>
    <t>4T22</t>
  </si>
  <si>
    <t>1T23</t>
  </si>
  <si>
    <t>2T23</t>
  </si>
  <si>
    <t>3T23</t>
  </si>
  <si>
    <t>4T23</t>
  </si>
  <si>
    <t>1T24</t>
  </si>
  <si>
    <t>2T24</t>
  </si>
  <si>
    <t>3T24</t>
  </si>
  <si>
    <t>Fale com o 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</si>
</sst>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0;\(#,##0.0\);\-"/>
    <numFmt numFmtId="166" formatCode="#,##0.0"/>
    <numFmt numFmtId="167" formatCode="#,##0.0000000"/>
    <numFmt numFmtId="168" formatCode="_-* #,##0.0_-;\-* #,##0.0_-;_-* &quot;-&quot;??_-;_-@_-"/>
    <numFmt numFmtId="169" formatCode="_(* #,##0.0_);_(* \(#,##0.0\);_(* &quot;-&quot;_);_(@_)"/>
    <numFmt numFmtId="170" formatCode="_-* #,##0_-;\-* #,##0_-;_-* &quot;-&quot;??_-;_-@_-"/>
    <numFmt numFmtId="171" formatCode="_(* #,##0_);_(* \(#,##0\);_(* &quot;-&quot;??_);_(@_)"/>
    <numFmt numFmtId="172" formatCode="0.0"/>
    <numFmt numFmtId="173" formatCode="#,###;\(#,##0\);\-"/>
    <numFmt numFmtId="174" formatCode="_-* #,##0.0_-;\-* #,##0.0_-;_-* &quot;-&quot;?_-;_-@_-"/>
  </numFmts>
  <fonts count="38"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entury Gothic"/>
      <family val="2"/>
    </font>
    <font>
      <b/>
      <i/>
      <u/>
      <sz val="12"/>
      <color rgb="FF2FC750"/>
      <name val="Century Gothic"/>
      <family val="2"/>
    </font>
    <font>
      <i/>
      <sz val="12"/>
      <color rgb="FF2FC750"/>
      <name val="Century Gothic"/>
      <family val="2"/>
    </font>
    <font>
      <i/>
      <sz val="12"/>
      <color rgb="FF0070C0"/>
      <name val="Century Gothic"/>
      <family val="2"/>
    </font>
    <font>
      <b/>
      <sz val="12"/>
      <color theme="0"/>
      <name val="Century Gothic"/>
      <family val="2"/>
    </font>
    <font>
      <b/>
      <sz val="12"/>
      <color rgb="FFFF0000"/>
      <name val="Century Gothic"/>
      <family val="2"/>
    </font>
    <font>
      <b/>
      <sz val="12"/>
      <color theme="1"/>
      <name val="Century Gothic"/>
      <family val="2"/>
    </font>
    <font>
      <b/>
      <sz val="12"/>
      <color rgb="FF000000"/>
      <name val="Century Gothic"/>
      <family val="2"/>
    </font>
    <font>
      <b/>
      <sz val="12"/>
      <name val="Century Gothic"/>
      <family val="2"/>
    </font>
    <font>
      <sz val="12"/>
      <color rgb="FF000000"/>
      <name val="Century Gothic"/>
      <family val="2"/>
    </font>
    <font>
      <sz val="12"/>
      <name val="Century Gothic"/>
      <family val="2"/>
    </font>
    <font>
      <sz val="12"/>
      <color rgb="FFFF0000"/>
      <name val="Century Gothic"/>
      <family val="2"/>
    </font>
    <font>
      <sz val="10"/>
      <name val="Arial"/>
      <family val="2"/>
    </font>
    <font>
      <b/>
      <i/>
      <sz val="12"/>
      <color theme="0"/>
      <name val="Century Gothic"/>
      <family val="2"/>
    </font>
    <font>
      <i/>
      <sz val="12"/>
      <color rgb="FF262856"/>
      <name val="Century Gothic"/>
      <family val="2"/>
    </font>
    <font>
      <sz val="12"/>
      <name val="Century Gothic"/>
    </font>
    <font>
      <sz val="11"/>
      <color theme="1"/>
      <name val="Century Gothic"/>
      <family val="2"/>
    </font>
    <font>
      <i/>
      <sz val="12"/>
      <color theme="3" tint="-0.499984740745262"/>
      <name val="Century Gothic"/>
      <family val="2"/>
    </font>
    <font>
      <i/>
      <sz val="11"/>
      <color theme="1"/>
      <name val="Century Gothic"/>
      <family val="2"/>
    </font>
    <font>
      <sz val="11"/>
      <color theme="3" tint="-0.499984740745262"/>
      <name val="Century Gothic"/>
      <family val="2"/>
    </font>
    <font>
      <sz val="11"/>
      <color rgb="FF000000"/>
      <name val="Century Gothic"/>
      <family val="2"/>
    </font>
    <font>
      <sz val="11"/>
      <color rgb="FF002060"/>
      <name val="Century Gothic"/>
      <family val="2"/>
    </font>
    <font>
      <b/>
      <sz val="22"/>
      <color rgb="FF262856"/>
      <name val="Century Gothic"/>
      <family val="2"/>
    </font>
    <font>
      <u/>
      <sz val="11"/>
      <color theme="10"/>
      <name val="Century Gothic"/>
      <family val="2"/>
    </font>
    <font>
      <b/>
      <sz val="48"/>
      <color rgb="FF262856"/>
      <name val="Century Gothic"/>
      <family val="2"/>
    </font>
    <font>
      <b/>
      <i/>
      <sz val="36"/>
      <color rgb="FF2FC750"/>
      <name val="Century Gothic"/>
      <family val="2"/>
    </font>
    <font>
      <b/>
      <sz val="11"/>
      <color rgb="FF262856"/>
      <name val="Century Gothic"/>
      <family val="2"/>
    </font>
    <font>
      <sz val="11"/>
      <color rgb="FF266BFF"/>
      <name val="Century Gothic"/>
      <family val="2"/>
    </font>
    <font>
      <b/>
      <sz val="12"/>
      <color theme="0"/>
      <name val="Century Gothic"/>
    </font>
    <font>
      <b/>
      <sz val="12"/>
      <color theme="1"/>
      <name val="Century Gothic"/>
    </font>
    <font>
      <b/>
      <sz val="12"/>
      <name val="Century Gothic"/>
    </font>
    <font>
      <sz val="12"/>
      <color theme="1"/>
      <name val="Century Gothic"/>
    </font>
    <font>
      <sz val="12"/>
      <color rgb="FF0026FF"/>
      <name val="Century Gothic"/>
    </font>
    <font>
      <sz val="12"/>
      <color rgb="FF0068FF"/>
      <name val="Century Gothic"/>
    </font>
    <font>
      <b/>
      <i/>
      <u/>
      <sz val="12"/>
      <color rgb="FF2FC750"/>
      <name val="Century Gothic"/>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FF"/>
        <bgColor rgb="FF000000"/>
      </patternFill>
    </fill>
  </fills>
  <borders count="17">
    <border>
      <left/>
      <right/>
      <top/>
      <bottom/>
      <diagonal/>
    </border>
    <border>
      <left style="thin">
        <color rgb="FF0026FF"/>
      </left>
      <right/>
      <top style="thin">
        <color rgb="FF0026FF"/>
      </top>
      <bottom/>
      <diagonal/>
    </border>
    <border>
      <left/>
      <right/>
      <top style="thin">
        <color rgb="FF0026FF"/>
      </top>
      <bottom/>
      <diagonal/>
    </border>
    <border>
      <left/>
      <right style="thin">
        <color rgb="FF0026FF"/>
      </right>
      <top style="thin">
        <color rgb="FF0026FF"/>
      </top>
      <bottom/>
      <diagonal/>
    </border>
    <border>
      <left style="thin">
        <color rgb="FF0026FF"/>
      </left>
      <right/>
      <top/>
      <bottom/>
      <diagonal/>
    </border>
    <border>
      <left/>
      <right style="thin">
        <color rgb="FF0026FF"/>
      </right>
      <top/>
      <bottom/>
      <diagonal/>
    </border>
    <border>
      <left style="thin">
        <color rgb="FF0026FF"/>
      </left>
      <right/>
      <top/>
      <bottom style="thin">
        <color rgb="FF0026FF"/>
      </bottom>
      <diagonal/>
    </border>
    <border>
      <left/>
      <right/>
      <top/>
      <bottom style="thin">
        <color rgb="FF0026FF"/>
      </bottom>
      <diagonal/>
    </border>
    <border>
      <left/>
      <right style="thin">
        <color rgb="FF0026FF"/>
      </right>
      <top/>
      <bottom style="thin">
        <color rgb="FF0026FF"/>
      </bottom>
      <diagonal/>
    </border>
    <border>
      <left/>
      <right/>
      <top/>
      <bottom style="medium">
        <color indexed="64"/>
      </bottom>
      <diagonal/>
    </border>
    <border>
      <left/>
      <right/>
      <top style="medium">
        <color indexed="64"/>
      </top>
      <bottom style="medium">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indexed="64"/>
      </bottom>
      <diagonal/>
    </border>
    <border>
      <left style="medium">
        <color theme="0"/>
      </left>
      <right style="medium">
        <color theme="0"/>
      </right>
      <top style="medium">
        <color indexed="64"/>
      </top>
      <bottom style="medium">
        <color indexed="64"/>
      </bottom>
      <diagonal/>
    </border>
    <border>
      <left/>
      <right/>
      <top/>
      <bottom style="thin">
        <color indexed="64"/>
      </bottom>
      <diagonal/>
    </border>
    <border>
      <left style="medium">
        <color theme="0"/>
      </left>
      <right style="medium">
        <color theme="0"/>
      </right>
      <top/>
      <bottom style="medium">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5" fillId="0" borderId="0"/>
    <xf numFmtId="43" fontId="1" fillId="0" borderId="0" applyFont="0" applyFill="0" applyBorder="0" applyAlignment="0" applyProtection="0"/>
  </cellStyleXfs>
  <cellXfs count="183">
    <xf numFmtId="0" fontId="0" fillId="0" borderId="0" xfId="0"/>
    <xf numFmtId="0" fontId="3" fillId="0" borderId="0" xfId="0" applyFont="1"/>
    <xf numFmtId="0" fontId="4" fillId="0" borderId="0" xfId="3" applyFont="1" applyAlignment="1">
      <alignment horizontal="center" vertical="center"/>
    </xf>
    <xf numFmtId="164" fontId="3" fillId="0" borderId="0" xfId="2" applyNumberFormat="1" applyFont="1"/>
    <xf numFmtId="2" fontId="5" fillId="0" borderId="0" xfId="0" applyNumberFormat="1" applyFont="1" applyAlignment="1">
      <alignment horizontal="centerContinuous"/>
    </xf>
    <xf numFmtId="2" fontId="6" fillId="0" borderId="0" xfId="0" applyNumberFormat="1" applyFont="1" applyAlignment="1">
      <alignment horizontal="centerContinuous"/>
    </xf>
    <xf numFmtId="0" fontId="6" fillId="0" borderId="0" xfId="0" applyFont="1" applyAlignment="1">
      <alignment horizontal="center"/>
    </xf>
    <xf numFmtId="164" fontId="6" fillId="0" borderId="0" xfId="2" applyNumberFormat="1" applyFont="1" applyAlignment="1">
      <alignment horizontal="center"/>
    </xf>
    <xf numFmtId="0" fontId="3" fillId="0" borderId="0" xfId="0" applyFont="1" applyAlignment="1">
      <alignment horizontal="centerContinuous"/>
    </xf>
    <xf numFmtId="0" fontId="6" fillId="0" borderId="0" xfId="0" applyFont="1" applyAlignment="1">
      <alignment horizontal="centerContinuous"/>
    </xf>
    <xf numFmtId="0" fontId="7" fillId="3" borderId="0" xfId="0" applyFont="1" applyFill="1" applyAlignment="1">
      <alignment horizontal="center" vertical="center"/>
    </xf>
    <xf numFmtId="0" fontId="7" fillId="0" borderId="0" xfId="0" applyFont="1" applyAlignment="1">
      <alignment horizontal="center" vertical="center"/>
    </xf>
    <xf numFmtId="0" fontId="9" fillId="0" borderId="0" xfId="0" applyFont="1"/>
    <xf numFmtId="0" fontId="10" fillId="0" borderId="0" xfId="0" applyFont="1" applyAlignment="1">
      <alignment vertical="center"/>
    </xf>
    <xf numFmtId="165" fontId="11" fillId="0" borderId="11" xfId="1" applyNumberFormat="1" applyFont="1" applyBorder="1" applyAlignment="1">
      <alignment horizontal="right" indent="1"/>
    </xf>
    <xf numFmtId="166" fontId="9" fillId="0" borderId="0" xfId="0" applyNumberFormat="1" applyFont="1"/>
    <xf numFmtId="3" fontId="9" fillId="0" borderId="0" xfId="0" applyNumberFormat="1" applyFont="1"/>
    <xf numFmtId="165" fontId="11" fillId="0" borderId="11" xfId="1" applyNumberFormat="1" applyFont="1" applyFill="1" applyBorder="1" applyAlignment="1">
      <alignment horizontal="right" indent="1"/>
    </xf>
    <xf numFmtId="165" fontId="11" fillId="0" borderId="0" xfId="1" applyNumberFormat="1" applyFont="1" applyFill="1" applyBorder="1" applyAlignment="1">
      <alignment horizontal="right" indent="1"/>
    </xf>
    <xf numFmtId="165" fontId="11" fillId="0" borderId="0" xfId="1" applyNumberFormat="1" applyFont="1" applyBorder="1" applyAlignment="1">
      <alignment horizontal="right" indent="1"/>
    </xf>
    <xf numFmtId="0" fontId="12" fillId="0" borderId="0" xfId="0" applyFont="1" applyAlignment="1">
      <alignment horizontal="left" vertical="center" indent="2"/>
    </xf>
    <xf numFmtId="165" fontId="13" fillId="0" borderId="11" xfId="1" applyNumberFormat="1" applyFont="1" applyFill="1" applyBorder="1" applyAlignment="1">
      <alignment horizontal="right" indent="1"/>
    </xf>
    <xf numFmtId="165" fontId="13" fillId="0" borderId="0" xfId="1" applyNumberFormat="1" applyFont="1" applyFill="1" applyBorder="1" applyAlignment="1">
      <alignment horizontal="right" indent="1"/>
    </xf>
    <xf numFmtId="165" fontId="13" fillId="4" borderId="0" xfId="1" applyNumberFormat="1" applyFont="1" applyFill="1" applyBorder="1" applyAlignment="1">
      <alignment horizontal="right" indent="1"/>
    </xf>
    <xf numFmtId="165" fontId="13" fillId="0" borderId="11" xfId="1" applyNumberFormat="1" applyFont="1" applyBorder="1" applyAlignment="1">
      <alignment horizontal="right" indent="1"/>
    </xf>
    <xf numFmtId="0" fontId="12" fillId="0" borderId="0" xfId="0" applyFont="1" applyAlignment="1">
      <alignment horizontal="left" vertical="center" indent="1"/>
    </xf>
    <xf numFmtId="165" fontId="13" fillId="0" borderId="0" xfId="1" applyNumberFormat="1" applyFont="1" applyBorder="1" applyAlignment="1">
      <alignment horizontal="right" indent="1"/>
    </xf>
    <xf numFmtId="0" fontId="3" fillId="0" borderId="0" xfId="0" applyFont="1" applyAlignment="1">
      <alignment horizontal="left" vertical="center" indent="1"/>
    </xf>
    <xf numFmtId="0" fontId="14" fillId="0" borderId="0" xfId="0" applyFont="1"/>
    <xf numFmtId="0" fontId="9" fillId="0" borderId="0" xfId="0" applyFont="1" applyAlignment="1">
      <alignment vertical="center"/>
    </xf>
    <xf numFmtId="165" fontId="9" fillId="0" borderId="11" xfId="1" applyNumberFormat="1" applyFont="1" applyFill="1" applyBorder="1" applyAlignment="1">
      <alignment horizontal="right" indent="1"/>
    </xf>
    <xf numFmtId="165" fontId="3" fillId="0" borderId="11" xfId="1" applyNumberFormat="1" applyFont="1" applyFill="1" applyBorder="1" applyAlignment="1">
      <alignment horizontal="right" indent="1"/>
    </xf>
    <xf numFmtId="165" fontId="3" fillId="0" borderId="0" xfId="1" applyNumberFormat="1" applyFont="1" applyFill="1" applyBorder="1" applyAlignment="1">
      <alignment horizontal="right" indent="1"/>
    </xf>
    <xf numFmtId="165" fontId="3" fillId="0" borderId="0" xfId="0" applyNumberFormat="1" applyFont="1"/>
    <xf numFmtId="167" fontId="3" fillId="0" borderId="0" xfId="0" applyNumberFormat="1" applyFont="1"/>
    <xf numFmtId="0" fontId="12" fillId="0" borderId="0" xfId="0" applyFont="1" applyAlignment="1">
      <alignment vertical="center"/>
    </xf>
    <xf numFmtId="165" fontId="13" fillId="0" borderId="0" xfId="1" applyNumberFormat="1" applyFont="1" applyAlignment="1">
      <alignment horizontal="right" indent="1"/>
    </xf>
    <xf numFmtId="0" fontId="9" fillId="0" borderId="0" xfId="0" applyFont="1" applyAlignment="1">
      <alignment horizontal="left" vertical="center" indent="1"/>
    </xf>
    <xf numFmtId="0" fontId="9" fillId="0" borderId="0" xfId="0" applyFont="1" applyAlignment="1">
      <alignment horizontal="right" vertical="center" indent="1"/>
    </xf>
    <xf numFmtId="169" fontId="9" fillId="0" borderId="0" xfId="1" applyNumberFormat="1" applyFont="1" applyFill="1" applyBorder="1" applyAlignment="1">
      <alignment horizontal="right" vertical="center"/>
    </xf>
    <xf numFmtId="0" fontId="3" fillId="0" borderId="0" xfId="0" applyFont="1" applyAlignment="1">
      <alignment horizontal="left" vertical="center" indent="2"/>
    </xf>
    <xf numFmtId="169" fontId="3" fillId="0" borderId="0" xfId="1" applyNumberFormat="1" applyFont="1" applyFill="1" applyBorder="1" applyAlignment="1">
      <alignment horizontal="right" vertical="center"/>
    </xf>
    <xf numFmtId="164" fontId="3" fillId="0" borderId="0" xfId="2" applyNumberFormat="1" applyFont="1" applyFill="1" applyBorder="1" applyAlignment="1">
      <alignment horizontal="right" vertical="center"/>
    </xf>
    <xf numFmtId="0" fontId="11" fillId="0" borderId="0" xfId="0" applyFont="1" applyAlignment="1">
      <alignment horizontal="left" indent="1"/>
    </xf>
    <xf numFmtId="0" fontId="13" fillId="0" borderId="0" xfId="0" applyFont="1" applyAlignment="1">
      <alignment horizontal="left" indent="2"/>
    </xf>
    <xf numFmtId="164" fontId="13" fillId="4" borderId="0" xfId="2" applyNumberFormat="1" applyFont="1" applyFill="1" applyAlignment="1">
      <alignment horizontal="right" indent="1"/>
    </xf>
    <xf numFmtId="0" fontId="3" fillId="2" borderId="0" xfId="0" applyFont="1" applyFill="1"/>
    <xf numFmtId="0" fontId="17" fillId="0" borderId="0" xfId="0" applyFont="1" applyAlignment="1">
      <alignment horizontal="center" vertical="center"/>
    </xf>
    <xf numFmtId="0" fontId="9" fillId="2" borderId="0" xfId="0" applyFont="1" applyFill="1"/>
    <xf numFmtId="0" fontId="3" fillId="0" borderId="0" xfId="0" applyFont="1" applyAlignment="1">
      <alignment vertical="center" wrapText="1"/>
    </xf>
    <xf numFmtId="165" fontId="3" fillId="0" borderId="12" xfId="1" applyNumberFormat="1" applyFont="1" applyFill="1" applyBorder="1" applyAlignment="1">
      <alignment horizontal="right" indent="1"/>
    </xf>
    <xf numFmtId="0" fontId="3" fillId="0" borderId="0" xfId="0" applyFont="1" applyAlignment="1">
      <alignment horizontal="left" vertical="center" wrapText="1" indent="2"/>
    </xf>
    <xf numFmtId="165" fontId="3" fillId="0" borderId="12" xfId="1" applyNumberFormat="1" applyFont="1" applyBorder="1" applyAlignment="1">
      <alignment horizontal="right" indent="1"/>
    </xf>
    <xf numFmtId="164" fontId="3" fillId="0" borderId="0" xfId="0" applyNumberFormat="1" applyFont="1"/>
    <xf numFmtId="164" fontId="9" fillId="0" borderId="0" xfId="2" applyNumberFormat="1" applyFont="1"/>
    <xf numFmtId="165" fontId="3" fillId="0" borderId="13" xfId="1" applyNumberFormat="1" applyFont="1" applyBorder="1" applyAlignment="1">
      <alignment horizontal="right" indent="1"/>
    </xf>
    <xf numFmtId="0" fontId="9" fillId="0" borderId="10" xfId="0" applyFont="1" applyBorder="1" applyAlignment="1">
      <alignment vertical="center" wrapText="1"/>
    </xf>
    <xf numFmtId="165" fontId="9" fillId="0" borderId="14" xfId="1" applyNumberFormat="1" applyFont="1" applyFill="1" applyBorder="1" applyAlignment="1">
      <alignment horizontal="right" indent="1"/>
    </xf>
    <xf numFmtId="0" fontId="3" fillId="0" borderId="9" xfId="0" applyFont="1" applyBorder="1" applyAlignment="1">
      <alignment vertical="center" wrapText="1"/>
    </xf>
    <xf numFmtId="165" fontId="3" fillId="0" borderId="14" xfId="1" applyNumberFormat="1" applyFont="1" applyBorder="1" applyAlignment="1">
      <alignment horizontal="right" indent="1"/>
    </xf>
    <xf numFmtId="0" fontId="9" fillId="0" borderId="9" xfId="0" applyFont="1" applyBorder="1" applyAlignment="1">
      <alignment vertical="center" wrapText="1"/>
    </xf>
    <xf numFmtId="4" fontId="3" fillId="0" borderId="0" xfId="0" applyNumberFormat="1" applyFont="1"/>
    <xf numFmtId="168" fontId="3" fillId="0" borderId="0" xfId="1" applyNumberFormat="1" applyFont="1"/>
    <xf numFmtId="0" fontId="11" fillId="0" borderId="0" xfId="0" applyFont="1"/>
    <xf numFmtId="0" fontId="13" fillId="0" borderId="0" xfId="0" applyFont="1" applyAlignment="1">
      <alignment horizontal="left" indent="1"/>
    </xf>
    <xf numFmtId="164" fontId="13" fillId="0" borderId="0" xfId="2" applyNumberFormat="1" applyFont="1" applyAlignment="1">
      <alignment horizontal="right" indent="1"/>
    </xf>
    <xf numFmtId="164" fontId="13" fillId="0" borderId="0" xfId="2" applyNumberFormat="1" applyFont="1" applyFill="1" applyBorder="1" applyAlignment="1">
      <alignment horizontal="right" indent="1"/>
    </xf>
    <xf numFmtId="168" fontId="11" fillId="0" borderId="0" xfId="1" applyNumberFormat="1" applyFont="1" applyAlignment="1">
      <alignment horizontal="right" indent="1"/>
    </xf>
    <xf numFmtId="168" fontId="11" fillId="0" borderId="0" xfId="1" applyNumberFormat="1" applyFont="1" applyFill="1" applyBorder="1" applyAlignment="1">
      <alignment horizontal="right" indent="1"/>
    </xf>
    <xf numFmtId="168" fontId="13" fillId="0" borderId="0" xfId="1" applyNumberFormat="1" applyFont="1" applyFill="1" applyBorder="1" applyAlignment="1">
      <alignment horizontal="right" indent="1"/>
    </xf>
    <xf numFmtId="0" fontId="11" fillId="0" borderId="0" xfId="0" applyFont="1" applyAlignment="1">
      <alignment horizontal="left" indent="3"/>
    </xf>
    <xf numFmtId="164" fontId="13" fillId="0" borderId="0" xfId="2" applyNumberFormat="1" applyFont="1"/>
    <xf numFmtId="0" fontId="3" fillId="0" borderId="0" xfId="0" applyFont="1" applyAlignment="1">
      <alignment horizontal="left" indent="1"/>
    </xf>
    <xf numFmtId="164" fontId="13" fillId="0" borderId="0" xfId="1" applyNumberFormat="1" applyFont="1" applyFill="1" applyBorder="1" applyAlignment="1">
      <alignment horizontal="right" indent="1"/>
    </xf>
    <xf numFmtId="164" fontId="13" fillId="0" borderId="0" xfId="1" applyNumberFormat="1" applyFont="1" applyAlignment="1">
      <alignment horizontal="right" indent="1"/>
    </xf>
    <xf numFmtId="168" fontId="9" fillId="0" borderId="0" xfId="1" applyNumberFormat="1" applyFont="1"/>
    <xf numFmtId="164" fontId="13" fillId="4" borderId="0" xfId="2" applyNumberFormat="1" applyFont="1" applyFill="1" applyBorder="1" applyAlignment="1">
      <alignment horizontal="right" indent="1"/>
    </xf>
    <xf numFmtId="168" fontId="11" fillId="0" borderId="0" xfId="1" applyNumberFormat="1" applyFont="1" applyBorder="1" applyAlignment="1">
      <alignment horizontal="right" indent="1"/>
    </xf>
    <xf numFmtId="164" fontId="18" fillId="4" borderId="0" xfId="2" applyNumberFormat="1" applyFont="1" applyFill="1" applyBorder="1" applyAlignment="1">
      <alignment horizontal="right" indent="1"/>
    </xf>
    <xf numFmtId="171" fontId="11" fillId="0" borderId="0" xfId="0" applyNumberFormat="1" applyFont="1" applyAlignment="1">
      <alignment horizontal="center" wrapText="1"/>
    </xf>
    <xf numFmtId="14" fontId="9" fillId="0" borderId="0" xfId="0" applyNumberFormat="1" applyFont="1" applyAlignment="1">
      <alignment horizontal="left" wrapText="1"/>
    </xf>
    <xf numFmtId="170" fontId="3" fillId="0" borderId="0" xfId="1" applyNumberFormat="1" applyFont="1" applyBorder="1"/>
    <xf numFmtId="172" fontId="13" fillId="0" borderId="0" xfId="0" applyNumberFormat="1" applyFont="1" applyAlignment="1">
      <alignment horizontal="left" indent="1"/>
    </xf>
    <xf numFmtId="165" fontId="13" fillId="0" borderId="0" xfId="1" applyNumberFormat="1" applyFont="1" applyAlignment="1">
      <alignment horizontal="right"/>
    </xf>
    <xf numFmtId="165" fontId="13" fillId="0" borderId="15" xfId="1" applyNumberFormat="1" applyFont="1" applyBorder="1" applyAlignment="1">
      <alignment horizontal="left" indent="1"/>
    </xf>
    <xf numFmtId="165" fontId="13" fillId="0" borderId="15" xfId="1" applyNumberFormat="1" applyFont="1" applyBorder="1" applyAlignment="1">
      <alignment horizontal="right"/>
    </xf>
    <xf numFmtId="165" fontId="11" fillId="0" borderId="0" xfId="1" applyNumberFormat="1" applyFont="1" applyAlignment="1">
      <alignment horizontal="left"/>
    </xf>
    <xf numFmtId="165" fontId="11" fillId="0" borderId="0" xfId="1" applyNumberFormat="1" applyFont="1" applyAlignment="1">
      <alignment horizontal="right"/>
    </xf>
    <xf numFmtId="0" fontId="19" fillId="2" borderId="0" xfId="0" applyFont="1" applyFill="1" applyAlignment="1">
      <alignment vertical="center"/>
    </xf>
    <xf numFmtId="0" fontId="1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164" fontId="13" fillId="0" borderId="0" xfId="2" applyNumberFormat="1" applyFont="1" applyFill="1" applyBorder="1" applyAlignment="1">
      <alignment horizontal="right" vertical="center"/>
    </xf>
    <xf numFmtId="164" fontId="3" fillId="0" borderId="0" xfId="0" applyNumberFormat="1" applyFont="1" applyAlignment="1">
      <alignment vertical="center"/>
    </xf>
    <xf numFmtId="170" fontId="13" fillId="0" borderId="0" xfId="1" applyNumberFormat="1" applyFont="1" applyFill="1" applyBorder="1" applyAlignment="1">
      <alignment horizontal="right" vertical="center"/>
    </xf>
    <xf numFmtId="0" fontId="14" fillId="0" borderId="0" xfId="0" applyFont="1" applyAlignment="1">
      <alignment vertical="center"/>
    </xf>
    <xf numFmtId="165" fontId="13" fillId="0" borderId="0" xfId="1" applyNumberFormat="1" applyFont="1" applyFill="1" applyBorder="1" applyAlignment="1">
      <alignment horizontal="right" vertical="center"/>
    </xf>
    <xf numFmtId="43" fontId="13" fillId="0" borderId="0" xfId="1" applyFont="1" applyFill="1" applyBorder="1" applyAlignment="1">
      <alignment horizontal="right" vertical="center"/>
    </xf>
    <xf numFmtId="168" fontId="13" fillId="0" borderId="0" xfId="1" applyNumberFormat="1" applyFont="1" applyFill="1" applyBorder="1" applyAlignment="1">
      <alignment horizontal="right" vertical="center"/>
    </xf>
    <xf numFmtId="168" fontId="3" fillId="0" borderId="0" xfId="1" applyNumberFormat="1" applyFont="1" applyAlignment="1">
      <alignment vertical="center"/>
    </xf>
    <xf numFmtId="168" fontId="13" fillId="0" borderId="0" xfId="1" applyNumberFormat="1" applyFont="1" applyAlignment="1">
      <alignment horizontal="right" vertical="center"/>
    </xf>
    <xf numFmtId="4" fontId="13" fillId="0" borderId="0" xfId="2" applyNumberFormat="1" applyFont="1" applyFill="1" applyBorder="1" applyAlignment="1">
      <alignment horizontal="right" vertical="center"/>
    </xf>
    <xf numFmtId="0" fontId="13" fillId="0" borderId="0" xfId="0" applyFont="1" applyAlignment="1">
      <alignment horizontal="left" vertical="center" indent="2"/>
    </xf>
    <xf numFmtId="0" fontId="11" fillId="0" borderId="0" xfId="0" applyFont="1" applyAlignment="1">
      <alignment vertical="center" wrapText="1"/>
    </xf>
    <xf numFmtId="170" fontId="9" fillId="0" borderId="0" xfId="1" applyNumberFormat="1" applyFont="1" applyBorder="1" applyAlignment="1">
      <alignment vertical="center"/>
    </xf>
    <xf numFmtId="173" fontId="13" fillId="0" borderId="0" xfId="1" applyNumberFormat="1" applyFont="1" applyFill="1" applyBorder="1" applyAlignment="1">
      <alignment horizontal="right" vertical="center"/>
    </xf>
    <xf numFmtId="3" fontId="13" fillId="0" borderId="0" xfId="0" applyNumberFormat="1" applyFont="1" applyAlignment="1">
      <alignment horizontal="right" vertical="center"/>
    </xf>
    <xf numFmtId="3" fontId="3" fillId="0" borderId="0" xfId="0" applyNumberFormat="1" applyFont="1" applyAlignment="1">
      <alignment vertical="center"/>
    </xf>
    <xf numFmtId="0" fontId="8" fillId="0" borderId="0" xfId="0" applyFont="1" applyAlignment="1">
      <alignment vertical="center" wrapText="1"/>
    </xf>
    <xf numFmtId="170" fontId="14" fillId="0" borderId="0" xfId="5" applyNumberFormat="1" applyFont="1"/>
    <xf numFmtId="170" fontId="11" fillId="0" borderId="0" xfId="1" applyNumberFormat="1" applyFont="1" applyFill="1" applyBorder="1" applyAlignment="1">
      <alignment vertical="center"/>
    </xf>
    <xf numFmtId="164" fontId="3" fillId="0" borderId="0" xfId="0" applyNumberFormat="1" applyFont="1" applyAlignment="1">
      <alignment horizontal="right" vertical="center"/>
    </xf>
    <xf numFmtId="164" fontId="13" fillId="0" borderId="0" xfId="0" applyNumberFormat="1" applyFont="1" applyAlignment="1">
      <alignment horizontal="right" vertical="center"/>
    </xf>
    <xf numFmtId="0" fontId="20" fillId="0" borderId="0" xfId="0" applyFont="1" applyAlignment="1">
      <alignment vertical="center" wrapText="1"/>
    </xf>
    <xf numFmtId="164" fontId="3" fillId="0" borderId="0" xfId="2" applyNumberFormat="1" applyFont="1" applyAlignment="1">
      <alignment vertical="center"/>
    </xf>
    <xf numFmtId="0" fontId="9" fillId="0" borderId="10" xfId="0" applyFont="1" applyBorder="1" applyAlignment="1">
      <alignment horizontal="left" vertical="center" indent="1"/>
    </xf>
    <xf numFmtId="169" fontId="9" fillId="0" borderId="10" xfId="1" applyNumberFormat="1" applyFont="1" applyFill="1" applyBorder="1" applyAlignment="1">
      <alignment horizontal="right" vertical="center"/>
    </xf>
    <xf numFmtId="0" fontId="21" fillId="0" borderId="0" xfId="0" applyFont="1" applyAlignment="1">
      <alignment horizontal="left" vertical="top" wrapText="1"/>
    </xf>
    <xf numFmtId="0" fontId="22" fillId="0" borderId="0" xfId="0" applyFont="1" applyAlignment="1">
      <alignment vertical="top" wrapText="1"/>
    </xf>
    <xf numFmtId="0" fontId="23" fillId="5" borderId="0" xfId="0" applyFont="1" applyFill="1" applyAlignment="1">
      <alignment vertical="center"/>
    </xf>
    <xf numFmtId="0" fontId="24" fillId="5" borderId="2" xfId="0" applyFont="1" applyFill="1" applyBorder="1" applyAlignment="1">
      <alignment vertical="center"/>
    </xf>
    <xf numFmtId="0" fontId="24" fillId="5" borderId="3" xfId="0" applyFont="1" applyFill="1" applyBorder="1" applyAlignment="1">
      <alignment vertical="center"/>
    </xf>
    <xf numFmtId="0" fontId="24" fillId="5" borderId="4" xfId="0" applyFont="1" applyFill="1" applyBorder="1" applyAlignment="1">
      <alignment vertical="center"/>
    </xf>
    <xf numFmtId="0" fontId="25" fillId="5" borderId="0" xfId="0" applyFont="1" applyFill="1" applyAlignment="1">
      <alignment vertical="center"/>
    </xf>
    <xf numFmtId="0" fontId="24" fillId="5" borderId="0" xfId="0" applyFont="1" applyFill="1" applyAlignment="1">
      <alignment vertical="center"/>
    </xf>
    <xf numFmtId="0" fontId="24" fillId="5" borderId="5" xfId="0" applyFont="1" applyFill="1" applyBorder="1" applyAlignment="1">
      <alignment vertical="center"/>
    </xf>
    <xf numFmtId="0" fontId="26" fillId="0" borderId="0" xfId="3" applyFont="1" applyAlignment="1">
      <alignment vertical="center"/>
    </xf>
    <xf numFmtId="0" fontId="23" fillId="5" borderId="0" xfId="0" applyFont="1" applyFill="1"/>
    <xf numFmtId="0" fontId="29" fillId="5" borderId="0" xfId="0" applyFont="1" applyFill="1" applyAlignment="1">
      <alignment horizontal="right" vertical="center"/>
    </xf>
    <xf numFmtId="0" fontId="26" fillId="5" borderId="0" xfId="3" applyFont="1" applyFill="1" applyAlignment="1">
      <alignment horizontal="right" vertical="center"/>
    </xf>
    <xf numFmtId="0" fontId="30" fillId="5" borderId="0" xfId="0" applyFont="1" applyFill="1" applyAlignment="1">
      <alignment vertical="center"/>
    </xf>
    <xf numFmtId="0" fontId="30" fillId="5" borderId="5" xfId="0" applyFont="1" applyFill="1" applyBorder="1" applyAlignment="1">
      <alignment vertical="center"/>
    </xf>
    <xf numFmtId="0" fontId="24" fillId="5" borderId="6" xfId="0" applyFont="1" applyFill="1" applyBorder="1" applyAlignment="1">
      <alignment vertical="center"/>
    </xf>
    <xf numFmtId="0" fontId="24" fillId="5" borderId="7" xfId="0" applyFont="1" applyFill="1" applyBorder="1" applyAlignment="1">
      <alignment vertical="center"/>
    </xf>
    <xf numFmtId="0" fontId="24" fillId="5" borderId="8" xfId="0" applyFont="1" applyFill="1" applyBorder="1" applyAlignment="1">
      <alignment vertical="center"/>
    </xf>
    <xf numFmtId="0" fontId="26" fillId="5" borderId="0" xfId="3" quotePrefix="1" applyFont="1" applyFill="1" applyAlignment="1">
      <alignment vertical="center"/>
    </xf>
    <xf numFmtId="0" fontId="31" fillId="3" borderId="0" xfId="0" applyFont="1" applyFill="1" applyAlignment="1">
      <alignment horizontal="center" vertical="center"/>
    </xf>
    <xf numFmtId="0" fontId="32" fillId="0" borderId="0" xfId="0" applyFont="1"/>
    <xf numFmtId="0" fontId="33" fillId="0" borderId="0" xfId="0" applyFont="1" applyAlignment="1">
      <alignment horizontal="left" indent="2"/>
    </xf>
    <xf numFmtId="0" fontId="18" fillId="0" borderId="0" xfId="0" applyFont="1" applyAlignment="1">
      <alignment horizontal="left" indent="3"/>
    </xf>
    <xf numFmtId="0" fontId="33" fillId="0" borderId="0" xfId="0" applyFont="1" applyAlignment="1">
      <alignment horizontal="left" indent="1"/>
    </xf>
    <xf numFmtId="0" fontId="18" fillId="0" borderId="0" xfId="0" applyFont="1" applyAlignment="1">
      <alignment horizontal="left" indent="2"/>
    </xf>
    <xf numFmtId="0" fontId="34" fillId="0" borderId="0" xfId="0" applyFont="1" applyAlignment="1">
      <alignment horizontal="left" indent="1"/>
    </xf>
    <xf numFmtId="164" fontId="34" fillId="0" borderId="0" xfId="2" applyNumberFormat="1" applyFont="1" applyAlignment="1">
      <alignment horizontal="right" vertical="center"/>
    </xf>
    <xf numFmtId="0" fontId="34" fillId="0" borderId="0" xfId="0" applyFont="1" applyAlignment="1">
      <alignment horizontal="left" vertical="center"/>
    </xf>
    <xf numFmtId="0" fontId="35" fillId="0" borderId="0" xfId="0" applyFont="1" applyAlignment="1">
      <alignment vertical="center"/>
    </xf>
    <xf numFmtId="164" fontId="35" fillId="0" borderId="0" xfId="2" applyNumberFormat="1" applyFont="1" applyAlignment="1">
      <alignment horizontal="right" vertical="center"/>
    </xf>
    <xf numFmtId="0" fontId="36" fillId="0" borderId="0" xfId="0" applyFont="1" applyAlignment="1">
      <alignment horizontal="left" vertical="center"/>
    </xf>
    <xf numFmtId="0" fontId="34"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horizontal="left" vertical="top" wrapText="1"/>
    </xf>
    <xf numFmtId="0" fontId="9" fillId="0" borderId="0" xfId="0" applyFont="1" applyAlignment="1">
      <alignment horizontal="left"/>
    </xf>
    <xf numFmtId="0" fontId="11" fillId="0" borderId="10" xfId="4" applyFont="1" applyBorder="1"/>
    <xf numFmtId="0" fontId="9" fillId="0" borderId="9" xfId="0" applyFont="1" applyBorder="1" applyAlignment="1">
      <alignment horizontal="left"/>
    </xf>
    <xf numFmtId="0" fontId="9" fillId="0" borderId="10" xfId="0" applyFont="1" applyBorder="1" applyAlignment="1">
      <alignment horizontal="left"/>
    </xf>
    <xf numFmtId="165" fontId="11" fillId="0" borderId="9" xfId="1" applyNumberFormat="1" applyFont="1" applyFill="1" applyBorder="1" applyAlignment="1">
      <alignment horizontal="right" indent="1"/>
    </xf>
    <xf numFmtId="165" fontId="11" fillId="0" borderId="10" xfId="1" applyNumberFormat="1" applyFont="1" applyFill="1" applyBorder="1" applyAlignment="1">
      <alignment horizontal="right" indent="1"/>
    </xf>
    <xf numFmtId="174" fontId="14" fillId="0" borderId="0" xfId="0" applyNumberFormat="1" applyFont="1"/>
    <xf numFmtId="165" fontId="8" fillId="0" borderId="0" xfId="1" applyNumberFormat="1" applyFont="1" applyFill="1" applyBorder="1" applyAlignment="1">
      <alignment horizontal="right" indent="1"/>
    </xf>
    <xf numFmtId="166" fontId="8" fillId="0" borderId="0" xfId="0" applyNumberFormat="1" applyFont="1"/>
    <xf numFmtId="165" fontId="14" fillId="0" borderId="0" xfId="0" applyNumberFormat="1" applyFont="1"/>
    <xf numFmtId="166" fontId="14" fillId="0" borderId="0" xfId="0" applyNumberFormat="1" applyFont="1"/>
    <xf numFmtId="164" fontId="14" fillId="0" borderId="0" xfId="0" applyNumberFormat="1" applyFont="1"/>
    <xf numFmtId="2" fontId="5" fillId="0" borderId="0" xfId="0" applyNumberFormat="1" applyFont="1" applyAlignment="1">
      <alignment horizontal="center"/>
    </xf>
    <xf numFmtId="0" fontId="34" fillId="2" borderId="0" xfId="0" applyFont="1" applyFill="1"/>
    <xf numFmtId="0" fontId="32" fillId="2" borderId="0" xfId="0" applyFont="1" applyFill="1"/>
    <xf numFmtId="0" fontId="34" fillId="0" borderId="0" xfId="0" applyFont="1"/>
    <xf numFmtId="165" fontId="33" fillId="0" borderId="10" xfId="1" applyNumberFormat="1" applyFont="1" applyBorder="1" applyAlignment="1">
      <alignment horizontal="right" indent="1"/>
    </xf>
    <xf numFmtId="0" fontId="34" fillId="0" borderId="9" xfId="0" applyFont="1" applyBorder="1" applyAlignment="1">
      <alignment horizontal="left" indent="1"/>
    </xf>
    <xf numFmtId="165" fontId="18" fillId="0" borderId="0" xfId="1" applyNumberFormat="1" applyFont="1" applyFill="1" applyAlignment="1">
      <alignment horizontal="right" indent="1"/>
    </xf>
    <xf numFmtId="165" fontId="3" fillId="0" borderId="16" xfId="1" applyNumberFormat="1" applyFont="1" applyFill="1" applyBorder="1" applyAlignment="1">
      <alignment horizontal="right" indent="1"/>
    </xf>
    <xf numFmtId="0" fontId="18" fillId="0" borderId="0" xfId="0" applyFont="1" applyAlignment="1">
      <alignment horizontal="left" indent="1"/>
    </xf>
    <xf numFmtId="0" fontId="23" fillId="5" borderId="0" xfId="0" applyFont="1" applyFill="1" applyAlignment="1">
      <alignment vertical="center"/>
    </xf>
    <xf numFmtId="0" fontId="24" fillId="5" borderId="1" xfId="0" applyFont="1" applyFill="1" applyBorder="1" applyAlignment="1">
      <alignment vertical="center"/>
    </xf>
    <xf numFmtId="0" fontId="24" fillId="5" borderId="2" xfId="0" applyFont="1" applyFill="1" applyBorder="1" applyAlignment="1">
      <alignment vertical="center"/>
    </xf>
    <xf numFmtId="0" fontId="24" fillId="5" borderId="4" xfId="0" applyFont="1" applyFill="1" applyBorder="1" applyAlignment="1">
      <alignment vertical="center"/>
    </xf>
    <xf numFmtId="0" fontId="24" fillId="5" borderId="0" xfId="0" applyFont="1" applyFill="1" applyAlignment="1">
      <alignment vertical="center"/>
    </xf>
    <xf numFmtId="0" fontId="27" fillId="5" borderId="0" xfId="0" applyFont="1" applyFill="1" applyAlignment="1">
      <alignment horizontal="right" vertical="center"/>
    </xf>
    <xf numFmtId="0" fontId="28" fillId="5" borderId="0" xfId="0" applyFont="1" applyFill="1" applyAlignment="1">
      <alignment horizontal="right" vertical="center"/>
    </xf>
    <xf numFmtId="0" fontId="4" fillId="0" borderId="0" xfId="3" applyFont="1" applyFill="1" applyBorder="1" applyAlignment="1">
      <alignment horizontal="center" vertical="center"/>
    </xf>
    <xf numFmtId="0" fontId="37" fillId="0" borderId="0" xfId="3" applyFont="1" applyAlignment="1">
      <alignment horizontal="center" vertical="center"/>
    </xf>
    <xf numFmtId="0" fontId="4" fillId="0" borderId="0" xfId="3" applyFont="1" applyAlignment="1">
      <alignment horizontal="center" vertical="center"/>
    </xf>
    <xf numFmtId="0" fontId="9" fillId="0" borderId="0" xfId="0" applyFont="1" applyAlignment="1">
      <alignment horizontal="left" vertical="center" wrapText="1"/>
    </xf>
  </cellXfs>
  <cellStyles count="6">
    <cellStyle name="Hiperlink" xfId="3" builtinId="8"/>
    <cellStyle name="Normal" xfId="0" builtinId="0"/>
    <cellStyle name="Normal 2" xfId="4" xr:uid="{75A8E2AD-22EC-46BC-A66F-1D077BB6AC01}"/>
    <cellStyle name="Porcentagem" xfId="2" builtinId="5"/>
    <cellStyle name="Vírgula" xfId="1" builtinId="3"/>
    <cellStyle name="Vírgula 5" xfId="5" xr:uid="{8C9EE130-1265-4F56-9A5E-306F1871C926}"/>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7</xdr:col>
      <xdr:colOff>84667</xdr:colOff>
      <xdr:row>3</xdr:row>
      <xdr:rowOff>178446</xdr:rowOff>
    </xdr:to>
    <xdr:pic>
      <xdr:nvPicPr>
        <xdr:cNvPr id="9" name="Imagem 4">
          <a:extLst>
            <a:ext uri="{FF2B5EF4-FFF2-40B4-BE49-F238E27FC236}">
              <a16:creationId xmlns:a16="http://schemas.microsoft.com/office/drawing/2014/main" id="{482033AD-2CF4-440C-BC5A-E52EC5FE9DF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69" t="16108" r="28224" b="21315"/>
        <a:stretch/>
      </xdr:blipFill>
      <xdr:spPr>
        <a:xfrm>
          <a:off x="7772400" y="342900"/>
          <a:ext cx="773642" cy="524521"/>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vestors@agi.com.br" TargetMode="External"/><Relationship Id="rId1" Type="http://schemas.openxmlformats.org/officeDocument/2006/relationships/hyperlink" Target="https://ri.agi.com.br/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09945-4E49-43C7-8A75-7C584845B274}">
  <sheetPr>
    <tabColor rgb="FF00B050"/>
  </sheetPr>
  <dimension ref="A1:I15"/>
  <sheetViews>
    <sheetView workbookViewId="0">
      <selection activeCell="E5" sqref="E5:G6"/>
    </sheetView>
  </sheetViews>
  <sheetFormatPr defaultColWidth="0" defaultRowHeight="13.5" zeroHeight="1" x14ac:dyDescent="0.35"/>
  <cols>
    <col min="1" max="1" width="1.453125" style="88" customWidth="1"/>
    <col min="2" max="2" width="2.81640625" style="88" customWidth="1"/>
    <col min="3" max="4" width="34.453125" style="88" customWidth="1"/>
    <col min="5" max="7" width="9.81640625" style="88" customWidth="1"/>
    <col min="8" max="8" width="2.81640625" style="88" customWidth="1"/>
    <col min="9" max="9" width="1.6328125" style="88" customWidth="1"/>
    <col min="10" max="16384" width="0" style="88" hidden="1"/>
  </cols>
  <sheetData>
    <row r="1" spans="1:9" x14ac:dyDescent="0.35">
      <c r="A1" s="119"/>
      <c r="B1" s="119"/>
      <c r="C1" s="119"/>
      <c r="D1" s="119"/>
      <c r="E1" s="119"/>
      <c r="F1" s="119"/>
      <c r="G1" s="119"/>
      <c r="H1" s="172"/>
      <c r="I1" s="172"/>
    </row>
    <row r="2" spans="1:9" x14ac:dyDescent="0.35">
      <c r="A2" s="119"/>
      <c r="B2" s="173"/>
      <c r="C2" s="174"/>
      <c r="D2" s="120"/>
      <c r="E2" s="120"/>
      <c r="F2" s="120"/>
      <c r="G2" s="120"/>
      <c r="H2" s="121"/>
      <c r="I2" s="119"/>
    </row>
    <row r="3" spans="1:9" ht="27" customHeight="1" x14ac:dyDescent="0.35">
      <c r="A3" s="119"/>
      <c r="B3" s="122"/>
      <c r="C3" s="123" t="s">
        <v>329</v>
      </c>
      <c r="D3" s="123"/>
      <c r="E3" s="124"/>
      <c r="F3" s="124"/>
      <c r="G3" s="124"/>
      <c r="H3" s="125"/>
      <c r="I3" s="119"/>
    </row>
    <row r="4" spans="1:9" ht="27" customHeight="1" x14ac:dyDescent="0.35">
      <c r="A4" s="119"/>
      <c r="B4" s="175"/>
      <c r="C4" s="176"/>
      <c r="D4" s="126"/>
      <c r="E4" s="124"/>
      <c r="F4" s="124"/>
      <c r="G4" s="124"/>
      <c r="H4" s="125"/>
      <c r="I4" s="119"/>
    </row>
    <row r="5" spans="1:9" ht="27" customHeight="1" x14ac:dyDescent="0.35">
      <c r="A5" s="119"/>
      <c r="B5" s="122"/>
      <c r="C5" s="123" t="s">
        <v>330</v>
      </c>
      <c r="D5" s="123"/>
      <c r="E5" s="177" t="s">
        <v>341</v>
      </c>
      <c r="F5" s="177"/>
      <c r="G5" s="177"/>
      <c r="H5" s="125"/>
      <c r="I5" s="119"/>
    </row>
    <row r="6" spans="1:9" ht="27" customHeight="1" x14ac:dyDescent="0.35">
      <c r="A6" s="119"/>
      <c r="B6" s="122"/>
      <c r="C6" s="124" t="s">
        <v>163</v>
      </c>
      <c r="E6" s="177"/>
      <c r="F6" s="177"/>
      <c r="G6" s="177"/>
      <c r="H6" s="125"/>
      <c r="I6" s="119"/>
    </row>
    <row r="7" spans="1:9" ht="27" customHeight="1" x14ac:dyDescent="0.35">
      <c r="A7" s="119"/>
      <c r="B7" s="122"/>
      <c r="C7" s="135" t="s">
        <v>331</v>
      </c>
      <c r="E7" s="178"/>
      <c r="F7" s="178"/>
      <c r="G7" s="178"/>
      <c r="H7" s="125"/>
      <c r="I7" s="119"/>
    </row>
    <row r="8" spans="1:9" ht="27" customHeight="1" x14ac:dyDescent="0.35">
      <c r="A8" s="119"/>
      <c r="B8" s="122"/>
      <c r="C8" s="135" t="s">
        <v>332</v>
      </c>
      <c r="E8" s="178"/>
      <c r="F8" s="178"/>
      <c r="G8" s="178"/>
      <c r="H8" s="125"/>
      <c r="I8" s="119"/>
    </row>
    <row r="9" spans="1:9" ht="27" customHeight="1" x14ac:dyDescent="0.35">
      <c r="A9" s="119"/>
      <c r="B9" s="122"/>
      <c r="C9" s="135" t="s">
        <v>333</v>
      </c>
      <c r="F9" s="124"/>
      <c r="G9" s="124"/>
      <c r="H9" s="125"/>
      <c r="I9" s="119"/>
    </row>
    <row r="10" spans="1:9" ht="27" customHeight="1" x14ac:dyDescent="0.25">
      <c r="A10" s="119"/>
      <c r="B10" s="122"/>
      <c r="C10" s="135" t="s">
        <v>164</v>
      </c>
      <c r="E10" s="127"/>
      <c r="F10" s="124"/>
      <c r="G10" s="128" t="s">
        <v>362</v>
      </c>
      <c r="H10" s="125"/>
      <c r="I10" s="119"/>
    </row>
    <row r="11" spans="1:9" ht="27" customHeight="1" x14ac:dyDescent="0.35">
      <c r="A11" s="119"/>
      <c r="B11" s="122"/>
      <c r="C11" s="135" t="s">
        <v>335</v>
      </c>
      <c r="E11" s="124"/>
      <c r="F11" s="119"/>
      <c r="G11" s="129" t="s">
        <v>165</v>
      </c>
      <c r="H11" s="125"/>
      <c r="I11" s="119"/>
    </row>
    <row r="12" spans="1:9" ht="27" customHeight="1" x14ac:dyDescent="0.35">
      <c r="B12" s="122"/>
      <c r="C12" s="135" t="s">
        <v>334</v>
      </c>
      <c r="D12" s="124"/>
      <c r="E12" s="124"/>
      <c r="F12" s="119"/>
      <c r="G12" s="129" t="s">
        <v>166</v>
      </c>
      <c r="H12" s="125"/>
      <c r="I12" s="119"/>
    </row>
    <row r="13" spans="1:9" ht="27" customHeight="1" x14ac:dyDescent="0.35">
      <c r="A13" s="119"/>
      <c r="B13" s="122"/>
      <c r="C13" s="124"/>
      <c r="D13" s="124"/>
      <c r="E13" s="130"/>
      <c r="F13" s="130"/>
      <c r="G13" s="119"/>
      <c r="H13" s="131"/>
      <c r="I13" s="119"/>
    </row>
    <row r="14" spans="1:9" ht="27" customHeight="1" x14ac:dyDescent="0.35">
      <c r="A14" s="119"/>
      <c r="B14" s="132"/>
      <c r="C14" s="133"/>
      <c r="D14" s="133"/>
      <c r="E14" s="133"/>
      <c r="F14" s="133"/>
      <c r="G14" s="133"/>
      <c r="H14" s="134"/>
      <c r="I14" s="119"/>
    </row>
    <row r="15" spans="1:9" x14ac:dyDescent="0.35">
      <c r="A15" s="172"/>
      <c r="B15" s="172"/>
      <c r="C15" s="172"/>
      <c r="D15" s="119"/>
      <c r="E15" s="119"/>
      <c r="F15" s="119"/>
      <c r="G15" s="119"/>
      <c r="H15" s="172"/>
      <c r="I15" s="172"/>
    </row>
  </sheetData>
  <mergeCells count="7">
    <mergeCell ref="A15:C15"/>
    <mergeCell ref="H15:I15"/>
    <mergeCell ref="H1:I1"/>
    <mergeCell ref="B2:C2"/>
    <mergeCell ref="B4:C4"/>
    <mergeCell ref="E5:G6"/>
    <mergeCell ref="E7:G8"/>
  </mergeCells>
  <hyperlinks>
    <hyperlink ref="G12" r:id="rId1" display="https://ri.agi.com.br/en/" xr:uid="{1C3C857C-77F9-4670-A633-AFD3F8044921}"/>
    <hyperlink ref="C11" location="Operating!A1" display="- OPERATING INDICATORS" xr:uid="{290DB299-EE9E-4DAE-BEF9-9219430740FF}"/>
    <hyperlink ref="C8" location="'P&amp;L'!A1" display="- P&amp;L" xr:uid="{C259933C-38A8-40F9-9ABB-427EE7D55C73}"/>
    <hyperlink ref="C7" location="'Balance Sheet'!A1" display="- BALANCE SHEET" xr:uid="{AFB43F68-C01F-4C07-9B37-9681CCA641EB}"/>
    <hyperlink ref="C10" location="Funding!A1" display="- FUNDING" xr:uid="{9B4F2883-56D4-4053-ACB4-3DE18C8CFD34}"/>
    <hyperlink ref="C9" location="Portfolio!A1" display="- CREDIT PORTFOLIO" xr:uid="{AA552379-021E-41E8-9131-29F396ABAA8E}"/>
    <hyperlink ref="C12" location="Ratios!A1" display="- OPERATING INDICATORS" xr:uid="{1F63D460-5411-4D1C-833B-EACCA0C6FE12}"/>
    <hyperlink ref="G11" r:id="rId2" xr:uid="{013421EC-DB22-4DA8-9C8F-EE74462D228B}"/>
  </hyperlinks>
  <pageMargins left="0.511811024" right="0.511811024" top="0.78740157499999996" bottom="0.78740157499999996" header="0.31496062000000002" footer="0.3149606200000000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4F97-656F-49CA-A3E5-63D34F0F1FF3}">
  <sheetPr>
    <tabColor rgb="FF00B050"/>
  </sheetPr>
  <dimension ref="A1:AH66"/>
  <sheetViews>
    <sheetView showGridLines="0" zoomScale="85" zoomScaleNormal="85" workbookViewId="0">
      <pane xSplit="3" ySplit="5" topLeftCell="D6" activePane="bottomRight" state="frozen"/>
      <selection pane="topRight" activeCell="D1" sqref="D1"/>
      <selection pane="bottomLeft" activeCell="A6" sqref="A6"/>
      <selection pane="bottomRight" activeCell="D4" sqref="D4"/>
    </sheetView>
  </sheetViews>
  <sheetFormatPr defaultRowHeight="16" outlineLevelCol="1" x14ac:dyDescent="0.35"/>
  <cols>
    <col min="1" max="1" width="1.6328125" style="164" customWidth="1"/>
    <col min="2" max="2" width="91.6328125" style="1" hidden="1" customWidth="1"/>
    <col min="3" max="3" width="91.6328125" style="1" customWidth="1" outlineLevel="1"/>
    <col min="4" max="14" width="17.6328125" style="1" customWidth="1"/>
    <col min="15" max="31" width="7.54296875" style="1" bestFit="1" customWidth="1"/>
    <col min="32" max="34" width="6.26953125" style="1" bestFit="1" customWidth="1"/>
    <col min="35" max="16384" width="8.7265625" style="1"/>
  </cols>
  <sheetData>
    <row r="1" spans="1:34" ht="16" customHeight="1" x14ac:dyDescent="0.35">
      <c r="B1" s="179" t="s">
        <v>15</v>
      </c>
      <c r="C1" s="180" t="s">
        <v>15</v>
      </c>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row>
    <row r="2" spans="1:34" ht="16" customHeight="1" x14ac:dyDescent="0.35">
      <c r="B2" s="179"/>
      <c r="C2" s="180"/>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91"/>
      <c r="AH2" s="91"/>
    </row>
    <row r="3" spans="1:34" ht="16" customHeight="1" x14ac:dyDescent="0.35">
      <c r="B3" s="10" t="s">
        <v>54</v>
      </c>
      <c r="C3" s="10" t="s">
        <v>317</v>
      </c>
      <c r="D3" s="10">
        <v>2022</v>
      </c>
      <c r="E3" s="10">
        <v>2023</v>
      </c>
      <c r="F3" s="10" t="s">
        <v>359</v>
      </c>
      <c r="G3" s="10" t="s">
        <v>360</v>
      </c>
      <c r="H3" s="10" t="s">
        <v>361</v>
      </c>
      <c r="I3" s="10" t="s">
        <v>336</v>
      </c>
      <c r="J3" s="10" t="s">
        <v>337</v>
      </c>
      <c r="K3" s="10" t="s">
        <v>338</v>
      </c>
      <c r="L3" s="10" t="s">
        <v>339</v>
      </c>
      <c r="M3" s="10" t="s">
        <v>340</v>
      </c>
      <c r="N3" s="10" t="s">
        <v>341</v>
      </c>
      <c r="O3" s="11"/>
      <c r="P3" s="11"/>
      <c r="Q3" s="11"/>
      <c r="R3" s="11"/>
      <c r="S3" s="11"/>
      <c r="T3" s="11"/>
      <c r="U3" s="11"/>
      <c r="V3" s="11"/>
      <c r="W3" s="11"/>
      <c r="X3" s="11"/>
      <c r="Y3" s="11"/>
      <c r="Z3" s="11"/>
      <c r="AA3" s="11"/>
      <c r="AB3" s="11"/>
      <c r="AC3" s="11"/>
      <c r="AD3" s="11"/>
      <c r="AE3" s="11"/>
      <c r="AF3" s="11"/>
      <c r="AG3" s="11"/>
      <c r="AH3" s="11"/>
    </row>
    <row r="4" spans="1:34" ht="16" customHeight="1" x14ac:dyDescent="0.35">
      <c r="B4" s="29"/>
      <c r="C4" s="29"/>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row>
    <row r="5" spans="1:34" ht="16" customHeight="1" x14ac:dyDescent="0.35">
      <c r="A5" s="165"/>
      <c r="B5" s="10" t="s">
        <v>55</v>
      </c>
      <c r="C5" s="10" t="s">
        <v>191</v>
      </c>
      <c r="D5" s="10">
        <v>2022</v>
      </c>
      <c r="E5" s="10">
        <v>2023</v>
      </c>
      <c r="F5" s="10" t="s">
        <v>359</v>
      </c>
      <c r="G5" s="10" t="s">
        <v>360</v>
      </c>
      <c r="H5" s="10" t="s">
        <v>361</v>
      </c>
      <c r="I5" s="10" t="s">
        <v>336</v>
      </c>
      <c r="J5" s="10" t="s">
        <v>337</v>
      </c>
      <c r="K5" s="10" t="s">
        <v>338</v>
      </c>
      <c r="L5" s="10" t="s">
        <v>339</v>
      </c>
      <c r="M5" s="10" t="s">
        <v>340</v>
      </c>
      <c r="N5" s="10" t="s">
        <v>341</v>
      </c>
      <c r="O5" s="11"/>
      <c r="P5" s="11"/>
      <c r="Q5" s="11"/>
      <c r="R5" s="11"/>
      <c r="S5" s="11"/>
      <c r="T5" s="11"/>
      <c r="U5" s="11"/>
      <c r="V5" s="11"/>
      <c r="W5" s="11"/>
      <c r="X5" s="11"/>
      <c r="Y5" s="11"/>
      <c r="Z5" s="11"/>
      <c r="AA5" s="11"/>
      <c r="AB5" s="11"/>
      <c r="AC5" s="11"/>
      <c r="AD5" s="11"/>
      <c r="AE5" s="11"/>
      <c r="AF5" s="11"/>
      <c r="AG5" s="11"/>
      <c r="AH5" s="11"/>
    </row>
    <row r="6" spans="1:34" ht="16" customHeight="1" x14ac:dyDescent="0.35">
      <c r="B6" s="37" t="s">
        <v>56</v>
      </c>
      <c r="C6" s="37" t="s">
        <v>192</v>
      </c>
      <c r="D6" s="38">
        <v>248.38900000000001</v>
      </c>
      <c r="E6" s="39">
        <v>267.34800000000001</v>
      </c>
      <c r="F6" s="39">
        <v>320.267</v>
      </c>
      <c r="G6" s="39">
        <v>291.83499999999998</v>
      </c>
      <c r="H6" s="39">
        <v>294.05700000000002</v>
      </c>
      <c r="I6" s="39">
        <v>230.42</v>
      </c>
      <c r="J6" s="39">
        <v>268.98</v>
      </c>
      <c r="K6" s="39">
        <v>371.36274943000001</v>
      </c>
      <c r="L6" s="39">
        <v>300.35036917000002</v>
      </c>
      <c r="M6" s="39">
        <v>327.29300000000001</v>
      </c>
      <c r="N6" s="39">
        <v>1002.419</v>
      </c>
    </row>
    <row r="7" spans="1:34" ht="16" customHeight="1" x14ac:dyDescent="0.35">
      <c r="B7" s="37" t="s">
        <v>57</v>
      </c>
      <c r="C7" s="37" t="s">
        <v>193</v>
      </c>
      <c r="D7" s="38">
        <v>451.274</v>
      </c>
      <c r="E7" s="39">
        <v>1414.8330000000001</v>
      </c>
      <c r="F7" s="39">
        <v>286.80900000000003</v>
      </c>
      <c r="G7" s="39">
        <v>673.60400000000004</v>
      </c>
      <c r="H7" s="39">
        <v>664.10699999999997</v>
      </c>
      <c r="I7" s="39">
        <v>1105.0889999999999</v>
      </c>
      <c r="J7" s="39">
        <v>416.73599999999999</v>
      </c>
      <c r="K7" s="39">
        <v>383.83036872000002</v>
      </c>
      <c r="L7" s="39">
        <v>1177.7338029</v>
      </c>
      <c r="M7" s="39">
        <v>3102.6390000000001</v>
      </c>
      <c r="N7" s="39">
        <v>2115.4029999999998</v>
      </c>
    </row>
    <row r="8" spans="1:34" ht="16" customHeight="1" x14ac:dyDescent="0.35">
      <c r="B8" s="37" t="s">
        <v>60</v>
      </c>
      <c r="C8" s="37" t="s">
        <v>195</v>
      </c>
      <c r="D8" s="39">
        <v>52.999000000000002</v>
      </c>
      <c r="E8" s="39">
        <v>39.844000000000001</v>
      </c>
      <c r="F8" s="39">
        <v>1245.7909999999999</v>
      </c>
      <c r="G8" s="39">
        <v>1467.7439999999999</v>
      </c>
      <c r="H8" s="39">
        <v>14.023</v>
      </c>
      <c r="I8" s="39">
        <v>14.394</v>
      </c>
      <c r="J8" s="39">
        <v>1176.6590000000001</v>
      </c>
      <c r="K8" s="39">
        <v>2518.7939999999999</v>
      </c>
      <c r="L8" s="39">
        <v>0</v>
      </c>
      <c r="M8" s="39">
        <v>0</v>
      </c>
      <c r="N8" s="39">
        <v>0</v>
      </c>
    </row>
    <row r="9" spans="1:34" ht="16" customHeight="1" x14ac:dyDescent="0.35">
      <c r="A9" s="165"/>
      <c r="B9" s="37" t="s">
        <v>61</v>
      </c>
      <c r="C9" s="37" t="s">
        <v>196</v>
      </c>
      <c r="D9" s="39">
        <f t="shared" ref="D9:K9" si="0">SUM(D10:D13)</f>
        <v>10586.360999999999</v>
      </c>
      <c r="E9" s="39">
        <f t="shared" si="0"/>
        <v>16019.078</v>
      </c>
      <c r="F9" s="39">
        <f t="shared" si="0"/>
        <v>17953.477999999999</v>
      </c>
      <c r="G9" s="39">
        <f t="shared" si="0"/>
        <v>19561.113000000001</v>
      </c>
      <c r="H9" s="39">
        <f t="shared" si="0"/>
        <v>22765.014000000003</v>
      </c>
      <c r="I9" s="39">
        <f t="shared" si="0"/>
        <v>25896.984</v>
      </c>
      <c r="J9" s="39">
        <f t="shared" si="0"/>
        <v>28578.67</v>
      </c>
      <c r="K9" s="39">
        <f t="shared" si="0"/>
        <v>31977.563000000002</v>
      </c>
      <c r="L9" s="39">
        <f>SUM(L10:L14)</f>
        <v>40202.529410509997</v>
      </c>
      <c r="M9" s="39">
        <f>SUM(M10:M14)</f>
        <v>41258.209999999992</v>
      </c>
      <c r="N9" s="39">
        <f>SUM(N10:N14)</f>
        <v>43897.349999999991</v>
      </c>
    </row>
    <row r="10" spans="1:34" ht="16" customHeight="1" x14ac:dyDescent="0.35">
      <c r="A10" s="165"/>
      <c r="B10" s="40" t="s">
        <v>0</v>
      </c>
      <c r="C10" s="40" t="s">
        <v>198</v>
      </c>
      <c r="D10" s="41">
        <v>736.41300000000001</v>
      </c>
      <c r="E10" s="41">
        <v>431.38</v>
      </c>
      <c r="F10" s="41">
        <v>431.28500000000003</v>
      </c>
      <c r="G10" s="41">
        <v>422.14600000000002</v>
      </c>
      <c r="H10" s="41">
        <v>819.33</v>
      </c>
      <c r="I10" s="41">
        <v>1904.0139999999999</v>
      </c>
      <c r="J10" s="41">
        <v>1657.8019999999999</v>
      </c>
      <c r="K10" s="41">
        <v>1877.2550000000001</v>
      </c>
      <c r="L10" s="41">
        <v>2364.1864105099999</v>
      </c>
      <c r="M10" s="41">
        <v>2474.971</v>
      </c>
      <c r="N10" s="41">
        <v>4054.2719999999999</v>
      </c>
    </row>
    <row r="11" spans="1:34" ht="16" customHeight="1" x14ac:dyDescent="0.35">
      <c r="A11" s="165"/>
      <c r="B11" s="40" t="s">
        <v>62</v>
      </c>
      <c r="C11" s="40" t="s">
        <v>199</v>
      </c>
      <c r="D11" s="41">
        <v>556.81700000000001</v>
      </c>
      <c r="E11" s="41">
        <v>723.57299999999998</v>
      </c>
      <c r="F11" s="41">
        <v>766.75199999999995</v>
      </c>
      <c r="G11" s="41">
        <v>1069.402</v>
      </c>
      <c r="H11" s="41">
        <v>1166.4649999999999</v>
      </c>
      <c r="I11" s="41">
        <v>1392.72</v>
      </c>
      <c r="J11" s="41">
        <v>1497.701</v>
      </c>
      <c r="K11" s="41">
        <v>1502.722</v>
      </c>
      <c r="L11" s="41">
        <v>5491.4380000000001</v>
      </c>
      <c r="M11" s="41">
        <v>5681.067</v>
      </c>
      <c r="N11" s="41">
        <v>5892.7389999999996</v>
      </c>
    </row>
    <row r="12" spans="1:34" ht="16" customHeight="1" x14ac:dyDescent="0.35">
      <c r="A12" s="165"/>
      <c r="B12" s="40" t="s">
        <v>2</v>
      </c>
      <c r="C12" s="40" t="s">
        <v>197</v>
      </c>
      <c r="D12" s="41">
        <v>10295.695</v>
      </c>
      <c r="E12" s="41">
        <v>16153.382</v>
      </c>
      <c r="F12" s="41">
        <v>18070.776999999998</v>
      </c>
      <c r="G12" s="41">
        <v>19401.702000000001</v>
      </c>
      <c r="H12" s="41">
        <v>22275.785</v>
      </c>
      <c r="I12" s="41">
        <v>24223.629000000001</v>
      </c>
      <c r="J12" s="41">
        <v>27239.473999999998</v>
      </c>
      <c r="K12" s="41">
        <v>30599.282999999999</v>
      </c>
      <c r="L12" s="41">
        <v>34461.356</v>
      </c>
      <c r="M12" s="41">
        <v>34855.040999999997</v>
      </c>
      <c r="N12" s="41">
        <v>35498.517999999996</v>
      </c>
    </row>
    <row r="13" spans="1:34" ht="16" customHeight="1" x14ac:dyDescent="0.35">
      <c r="A13" s="165"/>
      <c r="B13" s="40" t="s">
        <v>63</v>
      </c>
      <c r="C13" s="40" t="s">
        <v>177</v>
      </c>
      <c r="D13" s="41">
        <v>-1002.564</v>
      </c>
      <c r="E13" s="41">
        <v>-1289.2570000000001</v>
      </c>
      <c r="F13" s="41">
        <v>-1315.336</v>
      </c>
      <c r="G13" s="41">
        <v>-1332.1369999999999</v>
      </c>
      <c r="H13" s="41">
        <v>-1496.566</v>
      </c>
      <c r="I13" s="41">
        <v>-1623.3789999999999</v>
      </c>
      <c r="J13" s="41">
        <v>-1816.307</v>
      </c>
      <c r="K13" s="41">
        <v>-2001.6969999999999</v>
      </c>
      <c r="L13" s="41">
        <v>-2114.451</v>
      </c>
      <c r="M13" s="41">
        <v>-2413.6410000000001</v>
      </c>
      <c r="N13" s="41">
        <v>-2116.0839999999998</v>
      </c>
    </row>
    <row r="14" spans="1:34" s="28" customFormat="1" ht="16" customHeight="1" x14ac:dyDescent="0.35">
      <c r="A14" s="164"/>
      <c r="B14" s="40" t="s">
        <v>1</v>
      </c>
      <c r="C14" s="40" t="s">
        <v>200</v>
      </c>
      <c r="D14" s="41">
        <v>0</v>
      </c>
      <c r="E14" s="41">
        <v>0</v>
      </c>
      <c r="F14" s="41">
        <v>0</v>
      </c>
      <c r="G14" s="41">
        <v>0</v>
      </c>
      <c r="H14" s="41">
        <v>0</v>
      </c>
      <c r="I14" s="41">
        <v>0</v>
      </c>
      <c r="J14" s="41">
        <v>0</v>
      </c>
      <c r="K14" s="41">
        <v>0</v>
      </c>
      <c r="L14" s="41">
        <v>0</v>
      </c>
      <c r="M14" s="41">
        <v>660.77200000000005</v>
      </c>
      <c r="N14" s="41">
        <v>567.90499999999997</v>
      </c>
    </row>
    <row r="15" spans="1:34" ht="16" customHeight="1" x14ac:dyDescent="0.35">
      <c r="A15" s="166"/>
      <c r="B15" s="37" t="s">
        <v>64</v>
      </c>
      <c r="C15" s="37" t="s">
        <v>64</v>
      </c>
      <c r="D15" s="39">
        <v>7.4630000000000001</v>
      </c>
      <c r="E15" s="39">
        <v>0</v>
      </c>
      <c r="F15" s="39">
        <v>0</v>
      </c>
      <c r="G15" s="39">
        <v>0</v>
      </c>
      <c r="H15" s="39">
        <v>0</v>
      </c>
      <c r="I15" s="39">
        <v>0</v>
      </c>
      <c r="J15" s="39">
        <v>0</v>
      </c>
      <c r="K15" s="39">
        <v>0</v>
      </c>
      <c r="L15" s="39">
        <v>0</v>
      </c>
      <c r="M15" s="39">
        <v>0</v>
      </c>
      <c r="N15" s="39">
        <v>0</v>
      </c>
    </row>
    <row r="16" spans="1:34" ht="16" customHeight="1" x14ac:dyDescent="0.35">
      <c r="B16" s="37" t="s">
        <v>58</v>
      </c>
      <c r="C16" s="37" t="s">
        <v>194</v>
      </c>
      <c r="D16" s="39">
        <v>0</v>
      </c>
      <c r="E16" s="39">
        <v>0</v>
      </c>
      <c r="F16" s="39">
        <v>696.59</v>
      </c>
      <c r="G16" s="39">
        <v>710.76599999999996</v>
      </c>
      <c r="H16" s="39">
        <v>782.16499999999996</v>
      </c>
      <c r="I16" s="39">
        <v>0</v>
      </c>
      <c r="J16" s="39">
        <v>0</v>
      </c>
      <c r="K16" s="39">
        <v>0</v>
      </c>
      <c r="L16" s="39">
        <v>0</v>
      </c>
      <c r="M16" s="39">
        <v>0</v>
      </c>
      <c r="N16" s="39">
        <v>0</v>
      </c>
    </row>
    <row r="17" spans="2:14" ht="16" customHeight="1" x14ac:dyDescent="0.35">
      <c r="B17" s="37" t="s">
        <v>65</v>
      </c>
      <c r="C17" s="37" t="s">
        <v>202</v>
      </c>
      <c r="D17" s="39">
        <v>588.09</v>
      </c>
      <c r="E17" s="39">
        <v>687.36099999999999</v>
      </c>
      <c r="F17" s="39">
        <v>46.406999999999996</v>
      </c>
      <c r="G17" s="39">
        <v>46.646000000000001</v>
      </c>
      <c r="H17" s="39">
        <v>52.570999999999998</v>
      </c>
      <c r="I17" s="39">
        <v>831.69799999999998</v>
      </c>
      <c r="J17" s="39">
        <v>934.36199999999997</v>
      </c>
      <c r="K17" s="39">
        <v>1023.072</v>
      </c>
      <c r="L17" s="39">
        <v>1220.7439999999999</v>
      </c>
      <c r="M17" s="39">
        <v>1447.319</v>
      </c>
      <c r="N17" s="39">
        <v>1447.568</v>
      </c>
    </row>
    <row r="18" spans="2:14" ht="16" customHeight="1" x14ac:dyDescent="0.35">
      <c r="B18" s="37" t="s">
        <v>66</v>
      </c>
      <c r="C18" s="37" t="s">
        <v>201</v>
      </c>
      <c r="D18" s="39">
        <v>49.875</v>
      </c>
      <c r="E18" s="39">
        <v>44.704000000000001</v>
      </c>
      <c r="F18" s="39">
        <v>230.459</v>
      </c>
      <c r="G18" s="39">
        <v>219.72300000000001</v>
      </c>
      <c r="H18" s="39">
        <v>207.95400000000001</v>
      </c>
      <c r="I18" s="39">
        <v>57.951000000000001</v>
      </c>
      <c r="J18" s="39">
        <v>58.468000000000004</v>
      </c>
      <c r="K18" s="39">
        <v>65.912000000000006</v>
      </c>
      <c r="L18" s="39">
        <v>76.183000000000007</v>
      </c>
      <c r="M18" s="39">
        <v>92.412999999999997</v>
      </c>
      <c r="N18" s="39">
        <v>95.084000000000003</v>
      </c>
    </row>
    <row r="19" spans="2:14" ht="16" customHeight="1" x14ac:dyDescent="0.35">
      <c r="B19" s="37" t="s">
        <v>67</v>
      </c>
      <c r="C19" s="37" t="s">
        <v>203</v>
      </c>
      <c r="D19" s="39">
        <v>223.994</v>
      </c>
      <c r="E19" s="39">
        <v>222.036</v>
      </c>
      <c r="F19" s="39">
        <v>0</v>
      </c>
      <c r="G19" s="39">
        <v>0</v>
      </c>
      <c r="H19" s="39">
        <v>0</v>
      </c>
      <c r="I19" s="39">
        <v>199.15600000000001</v>
      </c>
      <c r="J19" s="39">
        <v>209.25800000000001</v>
      </c>
      <c r="K19" s="39">
        <v>202.97499999999999</v>
      </c>
      <c r="L19" s="39">
        <v>190.16200000000001</v>
      </c>
      <c r="M19" s="39">
        <v>182.20500000000001</v>
      </c>
      <c r="N19" s="39">
        <v>223.864</v>
      </c>
    </row>
    <row r="20" spans="2:14" ht="16" customHeight="1" x14ac:dyDescent="0.35">
      <c r="B20" s="37" t="s">
        <v>68</v>
      </c>
      <c r="C20" s="37" t="s">
        <v>204</v>
      </c>
      <c r="D20" s="39">
        <v>0</v>
      </c>
      <c r="E20" s="39">
        <v>0</v>
      </c>
      <c r="F20" s="39">
        <v>199.17</v>
      </c>
      <c r="G20" s="39">
        <v>213.249</v>
      </c>
      <c r="H20" s="39">
        <v>226.33</v>
      </c>
      <c r="I20" s="39">
        <v>0</v>
      </c>
      <c r="J20" s="39">
        <v>0</v>
      </c>
      <c r="K20" s="39">
        <v>0</v>
      </c>
      <c r="L20" s="39">
        <v>0</v>
      </c>
      <c r="M20" s="39">
        <v>0</v>
      </c>
      <c r="N20" s="39">
        <v>0</v>
      </c>
    </row>
    <row r="21" spans="2:14" ht="16" customHeight="1" x14ac:dyDescent="0.35">
      <c r="B21" s="37" t="s">
        <v>3</v>
      </c>
      <c r="C21" s="37" t="s">
        <v>205</v>
      </c>
      <c r="D21" s="39">
        <v>192.99600000000001</v>
      </c>
      <c r="E21" s="39">
        <v>182.24600000000001</v>
      </c>
      <c r="F21" s="39">
        <v>699.00199999999995</v>
      </c>
      <c r="G21" s="39">
        <v>720.59799999999996</v>
      </c>
      <c r="H21" s="39">
        <v>793.51700000000005</v>
      </c>
      <c r="I21" s="39">
        <v>223.285</v>
      </c>
      <c r="J21" s="39">
        <v>220.553</v>
      </c>
      <c r="K21" s="39">
        <v>214.886</v>
      </c>
      <c r="L21" s="39">
        <v>209.99199999999999</v>
      </c>
      <c r="M21" s="39">
        <v>211.697</v>
      </c>
      <c r="N21" s="39">
        <v>197.97900000000001</v>
      </c>
    </row>
    <row r="22" spans="2:14" ht="16" customHeight="1" x14ac:dyDescent="0.35">
      <c r="B22" s="37" t="s">
        <v>69</v>
      </c>
      <c r="C22" s="37" t="s">
        <v>206</v>
      </c>
      <c r="D22" s="39">
        <v>363.03699999999998</v>
      </c>
      <c r="E22" s="39">
        <v>481.93099999999998</v>
      </c>
      <c r="F22" s="39">
        <v>0</v>
      </c>
      <c r="G22" s="39">
        <v>0</v>
      </c>
      <c r="H22" s="39">
        <v>0</v>
      </c>
      <c r="I22" s="39">
        <v>955.98400000000004</v>
      </c>
      <c r="J22" s="39">
        <v>1284.002</v>
      </c>
      <c r="K22" s="39">
        <v>1669.4715108200005</v>
      </c>
      <c r="L22" s="39">
        <v>1490.7550000000001</v>
      </c>
      <c r="M22" s="39">
        <v>1138.798</v>
      </c>
      <c r="N22" s="39">
        <v>1213.7149999999999</v>
      </c>
    </row>
    <row r="23" spans="2:14" ht="16" customHeight="1" thickBot="1" x14ac:dyDescent="0.4">
      <c r="B23" s="29"/>
      <c r="C23" s="29"/>
      <c r="D23" s="39"/>
      <c r="E23" s="39"/>
      <c r="F23" s="39"/>
      <c r="G23" s="39"/>
      <c r="H23" s="39"/>
      <c r="I23" s="39"/>
      <c r="J23" s="39"/>
      <c r="K23" s="39"/>
      <c r="L23" s="39"/>
      <c r="M23" s="39"/>
      <c r="N23" s="39"/>
    </row>
    <row r="24" spans="2:14" ht="16" customHeight="1" thickBot="1" x14ac:dyDescent="0.4">
      <c r="B24" s="115" t="s">
        <v>70</v>
      </c>
      <c r="C24" s="115" t="s">
        <v>207</v>
      </c>
      <c r="D24" s="116">
        <f t="shared" ref="D24:N24" si="1">SUM(D6:D7,D8:D9,D15:D22)</f>
        <v>12764.477999999999</v>
      </c>
      <c r="E24" s="116">
        <f t="shared" si="1"/>
        <v>19359.381000000001</v>
      </c>
      <c r="F24" s="116">
        <f t="shared" si="1"/>
        <v>21677.972999999994</v>
      </c>
      <c r="G24" s="116">
        <f t="shared" si="1"/>
        <v>23905.278000000006</v>
      </c>
      <c r="H24" s="116">
        <f t="shared" si="1"/>
        <v>25799.738000000008</v>
      </c>
      <c r="I24" s="116">
        <f t="shared" si="1"/>
        <v>29514.960999999999</v>
      </c>
      <c r="J24" s="116">
        <f t="shared" si="1"/>
        <v>33147.688000000002</v>
      </c>
      <c r="K24" s="116">
        <f t="shared" si="1"/>
        <v>38427.866628969998</v>
      </c>
      <c r="L24" s="116">
        <f t="shared" si="1"/>
        <v>44868.449582579982</v>
      </c>
      <c r="M24" s="116">
        <f t="shared" si="1"/>
        <v>47760.574000000001</v>
      </c>
      <c r="N24" s="116">
        <f t="shared" si="1"/>
        <v>50193.381999999991</v>
      </c>
    </row>
    <row r="25" spans="2:14" ht="16" customHeight="1" x14ac:dyDescent="0.35">
      <c r="B25" s="151"/>
      <c r="C25" s="151"/>
      <c r="D25" s="18"/>
      <c r="E25" s="18"/>
      <c r="F25" s="18"/>
      <c r="G25" s="18"/>
      <c r="H25" s="18"/>
      <c r="I25" s="18"/>
      <c r="J25" s="18"/>
      <c r="K25" s="18"/>
      <c r="L25" s="18"/>
      <c r="M25" s="18"/>
      <c r="N25" s="18"/>
    </row>
    <row r="26" spans="2:14" ht="16" customHeight="1" x14ac:dyDescent="0.35">
      <c r="B26" s="151"/>
      <c r="C26" s="151"/>
      <c r="D26" s="18"/>
      <c r="E26" s="18"/>
      <c r="F26" s="18"/>
      <c r="G26" s="18"/>
      <c r="H26" s="18"/>
      <c r="I26" s="18"/>
      <c r="J26" s="18"/>
      <c r="K26" s="18"/>
      <c r="L26" s="18"/>
      <c r="M26" s="18"/>
      <c r="N26" s="18"/>
    </row>
    <row r="27" spans="2:14" ht="16" customHeight="1" x14ac:dyDescent="0.35">
      <c r="B27" s="27" t="s">
        <v>71</v>
      </c>
      <c r="C27" s="27" t="s">
        <v>208</v>
      </c>
      <c r="D27" s="41">
        <f t="shared" ref="D27:N27" si="2">SUM(D6:D7,D8,D10:D12,D14)</f>
        <v>12341.587</v>
      </c>
      <c r="E27" s="41">
        <f t="shared" si="2"/>
        <v>19030.36</v>
      </c>
      <c r="F27" s="41">
        <f t="shared" si="2"/>
        <v>21121.680999999997</v>
      </c>
      <c r="G27" s="41">
        <f t="shared" si="2"/>
        <v>23326.433000000001</v>
      </c>
      <c r="H27" s="41">
        <f t="shared" si="2"/>
        <v>25233.767</v>
      </c>
      <c r="I27" s="41">
        <f t="shared" si="2"/>
        <v>28870.266</v>
      </c>
      <c r="J27" s="41">
        <f t="shared" si="2"/>
        <v>32257.351999999999</v>
      </c>
      <c r="K27" s="41">
        <f t="shared" si="2"/>
        <v>37253.24711815</v>
      </c>
      <c r="L27" s="41">
        <f t="shared" si="2"/>
        <v>43795.064582580002</v>
      </c>
      <c r="M27" s="41">
        <f t="shared" si="2"/>
        <v>47101.782999999996</v>
      </c>
      <c r="N27" s="41">
        <f t="shared" si="2"/>
        <v>49131.255999999994</v>
      </c>
    </row>
    <row r="28" spans="2:14" ht="16" customHeight="1" x14ac:dyDescent="0.35">
      <c r="B28" s="27" t="s">
        <v>72</v>
      </c>
      <c r="C28" s="27" t="s">
        <v>209</v>
      </c>
      <c r="D28" s="41">
        <f t="shared" ref="D28:N28" si="3">SUM(D6:D7,D8,D10,D12,D14)</f>
        <v>11784.77</v>
      </c>
      <c r="E28" s="41">
        <f t="shared" si="3"/>
        <v>18306.787</v>
      </c>
      <c r="F28" s="41">
        <f t="shared" si="3"/>
        <v>20354.928999999996</v>
      </c>
      <c r="G28" s="41">
        <f t="shared" si="3"/>
        <v>22257.031000000003</v>
      </c>
      <c r="H28" s="41">
        <f t="shared" si="3"/>
        <v>24067.302</v>
      </c>
      <c r="I28" s="41">
        <f t="shared" si="3"/>
        <v>27477.546000000002</v>
      </c>
      <c r="J28" s="41">
        <f t="shared" si="3"/>
        <v>30759.650999999998</v>
      </c>
      <c r="K28" s="41">
        <f t="shared" si="3"/>
        <v>35750.525118149999</v>
      </c>
      <c r="L28" s="41">
        <f t="shared" si="3"/>
        <v>38303.62658258</v>
      </c>
      <c r="M28" s="41">
        <f t="shared" si="3"/>
        <v>41420.715999999993</v>
      </c>
      <c r="N28" s="41">
        <f t="shared" si="3"/>
        <v>43238.516999999993</v>
      </c>
    </row>
    <row r="29" spans="2:14" ht="16" customHeight="1" x14ac:dyDescent="0.35">
      <c r="J29" s="18"/>
    </row>
    <row r="30" spans="2:14" ht="16" customHeight="1" x14ac:dyDescent="0.35">
      <c r="B30" s="10" t="s">
        <v>73</v>
      </c>
      <c r="C30" s="10" t="s">
        <v>310</v>
      </c>
      <c r="D30" s="10">
        <v>2022</v>
      </c>
      <c r="E30" s="10">
        <v>2023</v>
      </c>
      <c r="F30" s="10" t="s">
        <v>359</v>
      </c>
      <c r="G30" s="10" t="s">
        <v>360</v>
      </c>
      <c r="H30" s="10" t="s">
        <v>361</v>
      </c>
      <c r="I30" s="10" t="s">
        <v>336</v>
      </c>
      <c r="J30" s="10" t="s">
        <v>337</v>
      </c>
      <c r="K30" s="10" t="s">
        <v>338</v>
      </c>
      <c r="L30" s="10" t="s">
        <v>339</v>
      </c>
      <c r="M30" s="10" t="s">
        <v>340</v>
      </c>
      <c r="N30" s="10" t="s">
        <v>341</v>
      </c>
    </row>
    <row r="31" spans="2:14" ht="16" customHeight="1" x14ac:dyDescent="0.35">
      <c r="B31" s="37" t="s">
        <v>74</v>
      </c>
      <c r="C31" s="37" t="s">
        <v>210</v>
      </c>
      <c r="D31" s="18">
        <f t="shared" ref="D31:K31" si="4">SUM(D32:D37)</f>
        <v>8961.09</v>
      </c>
      <c r="E31" s="18">
        <f t="shared" si="4"/>
        <v>14461.338999999998</v>
      </c>
      <c r="F31" s="18">
        <f t="shared" si="4"/>
        <v>16544.026000000002</v>
      </c>
      <c r="G31" s="18">
        <f t="shared" si="4"/>
        <v>18099.188999999998</v>
      </c>
      <c r="H31" s="18">
        <f t="shared" si="4"/>
        <v>18903.740999999998</v>
      </c>
      <c r="I31" s="18">
        <f t="shared" si="4"/>
        <v>20841.532999999999</v>
      </c>
      <c r="J31" s="18">
        <f t="shared" si="4"/>
        <v>24811.534000000003</v>
      </c>
      <c r="K31" s="18">
        <f t="shared" si="4"/>
        <v>28945.713972090001</v>
      </c>
      <c r="L31" s="18">
        <f>SUM(L32:L38)</f>
        <v>29153.811000000002</v>
      </c>
      <c r="M31" s="18">
        <f>SUM(M32:M38)</f>
        <v>31699.085000000003</v>
      </c>
      <c r="N31" s="18">
        <f>SUM(N32:N38)</f>
        <v>33240.761999999995</v>
      </c>
    </row>
    <row r="32" spans="2:14" ht="16" customHeight="1" x14ac:dyDescent="0.35">
      <c r="B32" s="40" t="s">
        <v>75</v>
      </c>
      <c r="C32" s="40" t="s">
        <v>211</v>
      </c>
      <c r="D32" s="22">
        <v>202.72900000000001</v>
      </c>
      <c r="E32" s="22">
        <v>206.66</v>
      </c>
      <c r="F32" s="22">
        <v>252.262</v>
      </c>
      <c r="G32" s="22">
        <v>392.85399999999998</v>
      </c>
      <c r="H32" s="22">
        <v>341.44600000000003</v>
      </c>
      <c r="I32" s="22">
        <v>320.209</v>
      </c>
      <c r="J32" s="22">
        <v>367.32600000000002</v>
      </c>
      <c r="K32" s="22">
        <v>361.81599999999997</v>
      </c>
      <c r="L32" s="22">
        <v>360.06900000000002</v>
      </c>
      <c r="M32" s="22">
        <v>345.80099999999999</v>
      </c>
      <c r="N32" s="22">
        <v>456.53800000000001</v>
      </c>
    </row>
    <row r="33" spans="2:14" ht="16" customHeight="1" x14ac:dyDescent="0.35">
      <c r="B33" s="40" t="s">
        <v>4</v>
      </c>
      <c r="C33" s="40" t="s">
        <v>212</v>
      </c>
      <c r="D33" s="22">
        <v>360.86</v>
      </c>
      <c r="E33" s="22">
        <v>913.69399999999996</v>
      </c>
      <c r="F33" s="22">
        <v>996.54100000000005</v>
      </c>
      <c r="G33" s="22">
        <v>2189.8879999999999</v>
      </c>
      <c r="H33" s="22">
        <v>2572.7739999999999</v>
      </c>
      <c r="I33" s="22">
        <v>3255.9850000000001</v>
      </c>
      <c r="J33" s="22">
        <v>4394.1310000000003</v>
      </c>
      <c r="K33" s="22">
        <v>5512.3180000000002</v>
      </c>
      <c r="L33" s="22">
        <v>5758.6440000000002</v>
      </c>
      <c r="M33" s="22">
        <v>6170.5290000000005</v>
      </c>
      <c r="N33" s="22">
        <v>6399.8810000000003</v>
      </c>
    </row>
    <row r="34" spans="2:14" ht="16" customHeight="1" x14ac:dyDescent="0.35">
      <c r="B34" s="40" t="s">
        <v>76</v>
      </c>
      <c r="C34" s="40" t="s">
        <v>213</v>
      </c>
      <c r="D34" s="22">
        <v>8083.0659999999998</v>
      </c>
      <c r="E34" s="22">
        <v>12969.522999999999</v>
      </c>
      <c r="F34" s="22">
        <v>14575.932000000001</v>
      </c>
      <c r="G34" s="22">
        <v>15018.651</v>
      </c>
      <c r="H34" s="22">
        <v>15483.331</v>
      </c>
      <c r="I34" s="22">
        <v>16256.733</v>
      </c>
      <c r="J34" s="22">
        <v>19068.114000000001</v>
      </c>
      <c r="K34" s="22">
        <v>19902.328000000001</v>
      </c>
      <c r="L34" s="22">
        <v>18710.641</v>
      </c>
      <c r="M34" s="22">
        <v>20504.881000000001</v>
      </c>
      <c r="N34" s="22">
        <v>21341.388999999999</v>
      </c>
    </row>
    <row r="35" spans="2:14" ht="16" customHeight="1" x14ac:dyDescent="0.35">
      <c r="B35" s="40" t="s">
        <v>5</v>
      </c>
      <c r="C35" s="40" t="s">
        <v>214</v>
      </c>
      <c r="D35" s="22">
        <v>314.435</v>
      </c>
      <c r="E35" s="22">
        <v>363.93900000000002</v>
      </c>
      <c r="F35" s="22">
        <v>476.89299999999997</v>
      </c>
      <c r="G35" s="22">
        <v>493.46199999999999</v>
      </c>
      <c r="H35" s="22">
        <v>504.24299999999999</v>
      </c>
      <c r="I35" s="22">
        <v>522.28200000000004</v>
      </c>
      <c r="J35" s="22">
        <v>534.43799999999999</v>
      </c>
      <c r="K35" s="22">
        <v>496.50799999999998</v>
      </c>
      <c r="L35" s="22">
        <v>509.06099999999998</v>
      </c>
      <c r="M35" s="22">
        <v>759.33900000000006</v>
      </c>
      <c r="N35" s="22">
        <v>890.61300000000006</v>
      </c>
    </row>
    <row r="36" spans="2:14" ht="16" customHeight="1" x14ac:dyDescent="0.35">
      <c r="B36" s="40" t="s">
        <v>77</v>
      </c>
      <c r="C36" s="40" t="s">
        <v>215</v>
      </c>
      <c r="D36" s="22">
        <v>0</v>
      </c>
      <c r="E36" s="22">
        <v>0</v>
      </c>
      <c r="F36" s="22">
        <v>0</v>
      </c>
      <c r="G36" s="22">
        <v>0</v>
      </c>
      <c r="H36" s="22">
        <v>0</v>
      </c>
      <c r="I36" s="22">
        <v>480.10300000000001</v>
      </c>
      <c r="J36" s="22">
        <v>445.55399999999997</v>
      </c>
      <c r="K36" s="22">
        <v>649.74699999999996</v>
      </c>
      <c r="L36" s="22">
        <v>668.90599999999995</v>
      </c>
      <c r="M36" s="22">
        <v>667.08900000000006</v>
      </c>
      <c r="N36" s="22">
        <v>781.73199999999997</v>
      </c>
    </row>
    <row r="37" spans="2:14" ht="16" customHeight="1" x14ac:dyDescent="0.35">
      <c r="B37" s="40" t="s">
        <v>6</v>
      </c>
      <c r="C37" s="40" t="s">
        <v>217</v>
      </c>
      <c r="D37" s="22">
        <v>0</v>
      </c>
      <c r="E37" s="22">
        <v>7.5229999999999997</v>
      </c>
      <c r="F37" s="22">
        <v>242.398</v>
      </c>
      <c r="G37" s="22">
        <v>4.3339999999999996</v>
      </c>
      <c r="H37" s="22">
        <v>1.9470000000000001</v>
      </c>
      <c r="I37" s="22">
        <v>6.2210000000000001</v>
      </c>
      <c r="J37" s="22">
        <v>1.9710000000000001</v>
      </c>
      <c r="K37" s="22">
        <f>8.276+2014.72097209</f>
        <v>2022.9969720900001</v>
      </c>
      <c r="L37" s="22">
        <v>3146.49</v>
      </c>
      <c r="M37" s="22">
        <v>0</v>
      </c>
      <c r="N37" s="22">
        <v>0</v>
      </c>
    </row>
    <row r="38" spans="2:14" ht="16" customHeight="1" x14ac:dyDescent="0.35">
      <c r="B38" s="40" t="s">
        <v>7</v>
      </c>
      <c r="C38" s="40" t="s">
        <v>216</v>
      </c>
      <c r="D38" s="22">
        <v>0</v>
      </c>
      <c r="E38" s="22">
        <v>0</v>
      </c>
      <c r="F38" s="22">
        <v>0</v>
      </c>
      <c r="G38" s="22">
        <v>0</v>
      </c>
      <c r="H38" s="22">
        <v>0</v>
      </c>
      <c r="I38" s="22">
        <v>0</v>
      </c>
      <c r="J38" s="22">
        <v>0</v>
      </c>
      <c r="K38" s="22">
        <v>0</v>
      </c>
      <c r="L38" s="22">
        <v>0</v>
      </c>
      <c r="M38" s="22">
        <v>3251.4459999999999</v>
      </c>
      <c r="N38" s="22">
        <v>3370.6089999999999</v>
      </c>
    </row>
    <row r="39" spans="2:14" ht="16" customHeight="1" x14ac:dyDescent="0.35">
      <c r="B39" s="37" t="s">
        <v>8</v>
      </c>
      <c r="C39" s="37" t="s">
        <v>194</v>
      </c>
      <c r="D39" s="18">
        <v>0</v>
      </c>
      <c r="E39" s="18">
        <v>24.469000000000001</v>
      </c>
      <c r="F39" s="18">
        <v>0.72499999999999998</v>
      </c>
      <c r="G39" s="18">
        <v>0</v>
      </c>
      <c r="H39" s="18">
        <v>19.628</v>
      </c>
      <c r="I39" s="18">
        <v>8.3879999999999999</v>
      </c>
      <c r="J39" s="18">
        <v>48.203000000000003</v>
      </c>
      <c r="K39" s="18">
        <v>38.695</v>
      </c>
      <c r="L39" s="18">
        <v>96.266999999999996</v>
      </c>
      <c r="M39" s="18">
        <v>115.077</v>
      </c>
      <c r="N39" s="18">
        <v>112.166</v>
      </c>
    </row>
    <row r="40" spans="2:14" ht="16" customHeight="1" x14ac:dyDescent="0.35">
      <c r="B40" s="37" t="s">
        <v>78</v>
      </c>
      <c r="C40" s="37" t="s">
        <v>218</v>
      </c>
      <c r="D40" s="18">
        <v>164.251</v>
      </c>
      <c r="E40" s="18">
        <v>232.239</v>
      </c>
      <c r="F40" s="18">
        <v>225.63</v>
      </c>
      <c r="G40" s="18">
        <v>221.46899999999999</v>
      </c>
      <c r="H40" s="18">
        <v>224.334</v>
      </c>
      <c r="I40" s="18">
        <v>301.923</v>
      </c>
      <c r="J40" s="18">
        <v>335.524</v>
      </c>
      <c r="K40" s="18">
        <v>361.476</v>
      </c>
      <c r="L40" s="18">
        <v>388.59300000000002</v>
      </c>
      <c r="M40" s="18">
        <v>310.34300000000002</v>
      </c>
      <c r="N40" s="18">
        <v>295.59699999999998</v>
      </c>
    </row>
    <row r="41" spans="2:14" ht="16" customHeight="1" x14ac:dyDescent="0.35">
      <c r="B41" s="37" t="s">
        <v>79</v>
      </c>
      <c r="C41" s="37" t="s">
        <v>219</v>
      </c>
      <c r="D41" s="18">
        <v>5.1130000000000004</v>
      </c>
      <c r="E41" s="18">
        <v>0</v>
      </c>
      <c r="F41" s="18">
        <v>0</v>
      </c>
      <c r="G41" s="18">
        <v>0</v>
      </c>
      <c r="H41" s="18">
        <v>0</v>
      </c>
      <c r="I41" s="18">
        <v>0</v>
      </c>
      <c r="J41" s="18">
        <v>0</v>
      </c>
      <c r="K41" s="18">
        <v>0</v>
      </c>
      <c r="L41" s="18">
        <v>0</v>
      </c>
      <c r="M41" s="18">
        <v>0</v>
      </c>
      <c r="N41" s="18">
        <v>0</v>
      </c>
    </row>
    <row r="42" spans="2:14" ht="16" customHeight="1" x14ac:dyDescent="0.35">
      <c r="B42" s="37" t="s">
        <v>80</v>
      </c>
      <c r="C42" s="37" t="s">
        <v>220</v>
      </c>
      <c r="D42" s="18">
        <v>2261.2959999999998</v>
      </c>
      <c r="E42" s="18">
        <v>2935.1089999999999</v>
      </c>
      <c r="F42" s="18">
        <v>572.64099999999996</v>
      </c>
      <c r="G42" s="18">
        <v>612.35400000000004</v>
      </c>
      <c r="H42" s="18">
        <v>809.58299999999997</v>
      </c>
      <c r="I42" s="18">
        <v>965.31200000000001</v>
      </c>
      <c r="J42" s="18">
        <v>867.46900000000005</v>
      </c>
      <c r="K42" s="18">
        <v>962.00900000000001</v>
      </c>
      <c r="L42" s="18">
        <v>1248.9559999999999</v>
      </c>
      <c r="M42" s="18">
        <v>1330.721</v>
      </c>
      <c r="N42" s="18">
        <v>948.60900000000004</v>
      </c>
    </row>
    <row r="43" spans="2:14" ht="16" customHeight="1" x14ac:dyDescent="0.35">
      <c r="B43" s="37" t="s">
        <v>81</v>
      </c>
      <c r="C43" s="37" t="s">
        <v>221</v>
      </c>
      <c r="D43" s="18">
        <v>1863.1310000000001</v>
      </c>
      <c r="E43" s="18">
        <v>2375.7820000000002</v>
      </c>
      <c r="F43" s="18">
        <v>2372.047</v>
      </c>
      <c r="G43" s="18">
        <v>2752.3159999999998</v>
      </c>
      <c r="H43" s="18">
        <v>3480.9989999999998</v>
      </c>
      <c r="I43" s="18">
        <v>4459.6289999999999</v>
      </c>
      <c r="J43" s="18">
        <v>3771.3040000000001</v>
      </c>
      <c r="K43" s="18">
        <v>4599.5973591400007</v>
      </c>
      <c r="L43" s="18">
        <v>10285.933582580001</v>
      </c>
      <c r="M43" s="18">
        <v>10397.344999999999</v>
      </c>
      <c r="N43" s="18">
        <v>10474.341</v>
      </c>
    </row>
    <row r="44" spans="2:14" ht="16" customHeight="1" x14ac:dyDescent="0.35">
      <c r="B44" s="37" t="s">
        <v>9</v>
      </c>
      <c r="C44" s="37" t="s">
        <v>222</v>
      </c>
      <c r="D44" s="18">
        <v>213.94200000000001</v>
      </c>
      <c r="E44" s="18">
        <v>206.75299999999999</v>
      </c>
      <c r="F44" s="18">
        <v>224.70500000000001</v>
      </c>
      <c r="G44" s="18">
        <v>240.54900000000001</v>
      </c>
      <c r="H44" s="18">
        <v>255.654</v>
      </c>
      <c r="I44" s="18">
        <v>254.602</v>
      </c>
      <c r="J44" s="18">
        <v>252.94499999999999</v>
      </c>
      <c r="K44" s="18">
        <v>248.648</v>
      </c>
      <c r="L44" s="18">
        <v>244.755</v>
      </c>
      <c r="M44" s="18">
        <v>248.28</v>
      </c>
      <c r="N44" s="18">
        <v>233.934</v>
      </c>
    </row>
    <row r="45" spans="2:14" ht="16" customHeight="1" thickBot="1" x14ac:dyDescent="0.4">
      <c r="B45" s="37" t="s">
        <v>10</v>
      </c>
      <c r="C45" s="37" t="s">
        <v>223</v>
      </c>
      <c r="D45" s="155">
        <v>184.18199999999999</v>
      </c>
      <c r="E45" s="155">
        <v>194.28399999999999</v>
      </c>
      <c r="F45" s="155">
        <v>203.93100000000001</v>
      </c>
      <c r="G45" s="155">
        <v>224.465</v>
      </c>
      <c r="H45" s="155">
        <v>228.08500000000001</v>
      </c>
      <c r="I45" s="155">
        <v>206.86</v>
      </c>
      <c r="J45" s="155">
        <v>214.566</v>
      </c>
      <c r="K45" s="155">
        <v>332.80799999999999</v>
      </c>
      <c r="L45" s="155">
        <v>362.48</v>
      </c>
      <c r="M45" s="155">
        <v>382.87400000000002</v>
      </c>
      <c r="N45" s="155">
        <v>232.983</v>
      </c>
    </row>
    <row r="46" spans="2:14" ht="16" customHeight="1" thickBot="1" x14ac:dyDescent="0.4">
      <c r="B46" s="152" t="s">
        <v>82</v>
      </c>
      <c r="C46" s="152" t="s">
        <v>224</v>
      </c>
      <c r="D46" s="155">
        <f>SUM(D31,D39:D42,D44:D45)</f>
        <v>11789.874</v>
      </c>
      <c r="E46" s="155">
        <f>SUM(E31,E39:E42,E44:E45)</f>
        <v>18054.192999999996</v>
      </c>
      <c r="F46" s="155">
        <f t="shared" ref="F46:N46" si="5">SUM(F31,F39:F45)</f>
        <v>20143.705000000002</v>
      </c>
      <c r="G46" s="155">
        <f t="shared" si="5"/>
        <v>22150.341999999997</v>
      </c>
      <c r="H46" s="155">
        <f t="shared" si="5"/>
        <v>23922.023999999994</v>
      </c>
      <c r="I46" s="155">
        <f t="shared" si="5"/>
        <v>27038.246999999999</v>
      </c>
      <c r="J46" s="155">
        <f t="shared" si="5"/>
        <v>30301.545000000006</v>
      </c>
      <c r="K46" s="155">
        <f t="shared" si="5"/>
        <v>35488.947331230003</v>
      </c>
      <c r="L46" s="155">
        <f t="shared" si="5"/>
        <v>41780.795582580002</v>
      </c>
      <c r="M46" s="155">
        <f t="shared" si="5"/>
        <v>44483.725000000006</v>
      </c>
      <c r="N46" s="155">
        <f t="shared" si="5"/>
        <v>45538.391999999993</v>
      </c>
    </row>
    <row r="47" spans="2:14" ht="16" customHeight="1" x14ac:dyDescent="0.35"/>
    <row r="48" spans="2:14" ht="16" customHeight="1" x14ac:dyDescent="0.35">
      <c r="B48" s="10" t="s">
        <v>83</v>
      </c>
      <c r="C48" s="10" t="s">
        <v>225</v>
      </c>
      <c r="D48" s="10">
        <v>2022</v>
      </c>
      <c r="E48" s="10">
        <v>2023</v>
      </c>
      <c r="F48" s="10" t="s">
        <v>359</v>
      </c>
      <c r="G48" s="10" t="s">
        <v>360</v>
      </c>
      <c r="H48" s="10" t="s">
        <v>361</v>
      </c>
      <c r="I48" s="10" t="s">
        <v>336</v>
      </c>
      <c r="J48" s="10" t="s">
        <v>337</v>
      </c>
      <c r="K48" s="10" t="s">
        <v>338</v>
      </c>
      <c r="L48" s="10" t="s">
        <v>339</v>
      </c>
      <c r="M48" s="10" t="s">
        <v>340</v>
      </c>
      <c r="N48" s="10" t="s">
        <v>341</v>
      </c>
    </row>
    <row r="49" spans="1:14" ht="16" customHeight="1" x14ac:dyDescent="0.35">
      <c r="B49" s="72" t="s">
        <v>11</v>
      </c>
      <c r="C49" s="72" t="s">
        <v>226</v>
      </c>
      <c r="D49" s="22">
        <v>931.22500000000002</v>
      </c>
      <c r="E49" s="22">
        <v>951.48199999999997</v>
      </c>
      <c r="F49" s="22">
        <v>970.822</v>
      </c>
      <c r="G49" s="22">
        <v>1053.848</v>
      </c>
      <c r="H49" s="22">
        <v>1672.6769999999999</v>
      </c>
      <c r="I49" s="22">
        <v>1673</v>
      </c>
      <c r="J49" s="22">
        <v>1760.566</v>
      </c>
      <c r="K49" s="22">
        <v>1693</v>
      </c>
      <c r="L49" s="22">
        <v>1693</v>
      </c>
      <c r="M49" s="22">
        <v>2622.0819999999999</v>
      </c>
      <c r="N49" s="22">
        <v>0.04</v>
      </c>
    </row>
    <row r="50" spans="1:14" ht="16" customHeight="1" x14ac:dyDescent="0.35">
      <c r="B50" s="72" t="s">
        <v>84</v>
      </c>
      <c r="C50" s="72" t="s">
        <v>228</v>
      </c>
      <c r="D50" s="22">
        <v>0</v>
      </c>
      <c r="E50" s="22">
        <v>0</v>
      </c>
      <c r="F50" s="22">
        <v>0</v>
      </c>
      <c r="G50" s="22">
        <v>0</v>
      </c>
      <c r="H50" s="22">
        <v>0</v>
      </c>
      <c r="I50" s="22">
        <v>0</v>
      </c>
      <c r="J50" s="22">
        <v>0</v>
      </c>
      <c r="K50" s="22">
        <v>0</v>
      </c>
      <c r="L50" s="22">
        <v>0</v>
      </c>
      <c r="M50" s="22">
        <v>0</v>
      </c>
      <c r="N50" s="22">
        <v>3941.84</v>
      </c>
    </row>
    <row r="51" spans="1:14" ht="16" customHeight="1" x14ac:dyDescent="0.35">
      <c r="B51" s="72" t="s">
        <v>13</v>
      </c>
      <c r="C51" s="72" t="s">
        <v>227</v>
      </c>
      <c r="D51" s="22">
        <v>202.084</v>
      </c>
      <c r="E51" s="22">
        <v>544.17899999999997</v>
      </c>
      <c r="F51" s="22">
        <v>534.22900000000004</v>
      </c>
      <c r="G51" s="22">
        <v>534.22900000000004</v>
      </c>
      <c r="H51" s="22">
        <v>-83.8</v>
      </c>
      <c r="I51" s="22">
        <v>587.66999999999996</v>
      </c>
      <c r="J51" s="22">
        <v>869.6</v>
      </c>
      <c r="K51" s="22">
        <v>869.6</v>
      </c>
      <c r="L51" s="22">
        <v>869.6</v>
      </c>
      <c r="M51" s="22">
        <v>544.19399999999996</v>
      </c>
      <c r="N51" s="22">
        <v>547.01400000000001</v>
      </c>
    </row>
    <row r="52" spans="1:14" ht="16" customHeight="1" x14ac:dyDescent="0.35">
      <c r="B52" s="72" t="s">
        <v>14</v>
      </c>
      <c r="C52" s="72" t="s">
        <v>229</v>
      </c>
      <c r="D52" s="22">
        <v>-171.839</v>
      </c>
      <c r="E52" s="22">
        <v>-163.16999999999999</v>
      </c>
      <c r="F52" s="22">
        <v>0</v>
      </c>
      <c r="G52" s="22">
        <v>0</v>
      </c>
      <c r="H52" s="22">
        <v>0</v>
      </c>
      <c r="I52" s="22">
        <v>-232.34800000000001</v>
      </c>
      <c r="J52" s="22">
        <v>0</v>
      </c>
      <c r="K52" s="22">
        <v>0</v>
      </c>
      <c r="L52" s="22">
        <v>0</v>
      </c>
      <c r="M52" s="36">
        <v>115.16</v>
      </c>
      <c r="N52" s="36">
        <v>186.535</v>
      </c>
    </row>
    <row r="53" spans="1:14" ht="16" customHeight="1" x14ac:dyDescent="0.35">
      <c r="B53" s="72" t="s">
        <v>12</v>
      </c>
      <c r="C53" s="72" t="s">
        <v>230</v>
      </c>
      <c r="D53" s="22">
        <v>0</v>
      </c>
      <c r="E53" s="22">
        <v>-3.5999999999999997E-2</v>
      </c>
      <c r="F53" s="22">
        <v>46.05</v>
      </c>
      <c r="G53" s="22">
        <v>159.27699999999999</v>
      </c>
      <c r="H53" s="22">
        <v>278.37599999999998</v>
      </c>
      <c r="I53" s="22">
        <v>-1.157</v>
      </c>
      <c r="J53" s="22">
        <v>207.49100000000001</v>
      </c>
      <c r="K53" s="22">
        <v>384.73899999999998</v>
      </c>
      <c r="L53" s="22">
        <v>529.71100000000001</v>
      </c>
      <c r="M53" s="22">
        <v>-1.2969999999999999</v>
      </c>
      <c r="N53" s="22">
        <v>-16.965</v>
      </c>
    </row>
    <row r="54" spans="1:14" ht="16" customHeight="1" x14ac:dyDescent="0.35">
      <c r="A54" s="166"/>
      <c r="B54" s="72" t="s">
        <v>85</v>
      </c>
      <c r="C54" s="72" t="s">
        <v>231</v>
      </c>
      <c r="D54" s="22">
        <v>0</v>
      </c>
      <c r="E54" s="22">
        <v>0</v>
      </c>
      <c r="F54" s="22">
        <v>-2.4649999999999999</v>
      </c>
      <c r="G54" s="22">
        <v>-2.4649999999999999</v>
      </c>
      <c r="H54" s="22">
        <v>0</v>
      </c>
      <c r="I54" s="22">
        <v>285.07400000000001</v>
      </c>
      <c r="J54" s="22">
        <v>0</v>
      </c>
      <c r="K54" s="22">
        <v>0</v>
      </c>
      <c r="L54" s="22">
        <v>0</v>
      </c>
      <c r="M54" s="22">
        <v>0</v>
      </c>
      <c r="N54" s="22">
        <v>0</v>
      </c>
    </row>
    <row r="55" spans="1:14" ht="16" customHeight="1" x14ac:dyDescent="0.35">
      <c r="B55" s="72" t="s">
        <v>86</v>
      </c>
      <c r="C55" s="72" t="s">
        <v>232</v>
      </c>
      <c r="D55" s="22">
        <v>1.456</v>
      </c>
      <c r="E55" s="22">
        <v>-24.419</v>
      </c>
      <c r="F55" s="22">
        <v>-11.97</v>
      </c>
      <c r="G55" s="22">
        <v>12.076000000000001</v>
      </c>
      <c r="H55" s="22">
        <v>11.917999999999999</v>
      </c>
      <c r="I55" s="22">
        <v>49.851999999999997</v>
      </c>
      <c r="J55" s="22">
        <v>12.336</v>
      </c>
      <c r="K55" s="22">
        <v>-5.7590000000000003</v>
      </c>
      <c r="L55" s="22">
        <v>-3.1</v>
      </c>
      <c r="M55" s="22">
        <v>-3.2789999999999999</v>
      </c>
      <c r="N55" s="22">
        <v>-3.4740000000000002</v>
      </c>
    </row>
    <row r="56" spans="1:14" ht="16" customHeight="1" thickBot="1" x14ac:dyDescent="0.4">
      <c r="A56" s="166"/>
      <c r="B56" s="168" t="s">
        <v>321</v>
      </c>
      <c r="C56" s="168" t="s">
        <v>322</v>
      </c>
      <c r="D56" s="169">
        <v>11.676</v>
      </c>
      <c r="E56" s="169">
        <v>-2.847</v>
      </c>
      <c r="F56" s="169">
        <v>-2.3980000000000001</v>
      </c>
      <c r="G56" s="169">
        <v>-2.0249999999999999</v>
      </c>
      <c r="H56" s="169">
        <v>-1.4570000000000001</v>
      </c>
      <c r="I56" s="169">
        <v>114.623</v>
      </c>
      <c r="J56" s="169">
        <v>-3.85</v>
      </c>
      <c r="K56" s="169">
        <v>-2.661</v>
      </c>
      <c r="L56" s="169">
        <v>-1.556</v>
      </c>
      <c r="M56" s="169">
        <v>0</v>
      </c>
      <c r="N56" s="169">
        <v>0</v>
      </c>
    </row>
    <row r="57" spans="1:14" ht="16" customHeight="1" thickBot="1" x14ac:dyDescent="0.4">
      <c r="B57" s="153" t="s">
        <v>87</v>
      </c>
      <c r="C57" s="167">
        <f t="shared" ref="C57:N57" si="6">SUM(C49:C56)</f>
        <v>0</v>
      </c>
      <c r="D57" s="156">
        <f t="shared" si="6"/>
        <v>974.60200000000009</v>
      </c>
      <c r="E57" s="156">
        <f t="shared" si="6"/>
        <v>1305.1889999999999</v>
      </c>
      <c r="F57" s="156">
        <f t="shared" si="6"/>
        <v>1534.268</v>
      </c>
      <c r="G57" s="156">
        <f t="shared" si="6"/>
        <v>1754.94</v>
      </c>
      <c r="H57" s="156">
        <f t="shared" si="6"/>
        <v>1877.7139999999997</v>
      </c>
      <c r="I57" s="156">
        <f t="shared" si="6"/>
        <v>2476.7139999999999</v>
      </c>
      <c r="J57" s="156">
        <f t="shared" si="6"/>
        <v>2846.143</v>
      </c>
      <c r="K57" s="156">
        <f t="shared" si="6"/>
        <v>2938.9189999999999</v>
      </c>
      <c r="L57" s="156">
        <f t="shared" si="6"/>
        <v>3087.6549999999997</v>
      </c>
      <c r="M57" s="156">
        <f t="shared" si="6"/>
        <v>3276.8599999999997</v>
      </c>
      <c r="N57" s="156">
        <f t="shared" si="6"/>
        <v>4654.99</v>
      </c>
    </row>
    <row r="58" spans="1:14" ht="16" customHeight="1" thickBot="1" x14ac:dyDescent="0.4">
      <c r="B58" s="154"/>
      <c r="C58" s="154"/>
      <c r="D58" s="156"/>
      <c r="E58" s="156"/>
      <c r="F58" s="156"/>
      <c r="G58" s="156"/>
      <c r="H58" s="156"/>
      <c r="I58" s="156"/>
      <c r="J58" s="156"/>
      <c r="K58" s="156"/>
      <c r="L58" s="156"/>
      <c r="M58" s="156"/>
      <c r="N58" s="156"/>
    </row>
    <row r="59" spans="1:14" ht="16" customHeight="1" thickBot="1" x14ac:dyDescent="0.4">
      <c r="B59" s="153" t="s">
        <v>88</v>
      </c>
      <c r="C59" s="153" t="s">
        <v>311</v>
      </c>
      <c r="D59" s="156">
        <f t="shared" ref="D59:M59" si="7">SUM(D57,D46)</f>
        <v>12764.476000000001</v>
      </c>
      <c r="E59" s="156">
        <f t="shared" si="7"/>
        <v>19359.381999999994</v>
      </c>
      <c r="F59" s="156">
        <f t="shared" si="7"/>
        <v>21677.973000000002</v>
      </c>
      <c r="G59" s="156">
        <f t="shared" si="7"/>
        <v>23905.281999999996</v>
      </c>
      <c r="H59" s="156">
        <f t="shared" si="7"/>
        <v>25799.737999999994</v>
      </c>
      <c r="I59" s="156">
        <f t="shared" si="7"/>
        <v>29514.960999999999</v>
      </c>
      <c r="J59" s="156">
        <f t="shared" si="7"/>
        <v>33147.688000000009</v>
      </c>
      <c r="K59" s="156">
        <f t="shared" si="7"/>
        <v>38427.866331230005</v>
      </c>
      <c r="L59" s="156">
        <f t="shared" si="7"/>
        <v>44868.450582580001</v>
      </c>
      <c r="M59" s="156">
        <f t="shared" si="7"/>
        <v>47760.585000000006</v>
      </c>
      <c r="N59" s="156">
        <f>SUM(N46,N57)</f>
        <v>50193.381999999991</v>
      </c>
    </row>
    <row r="60" spans="1:14" ht="16" customHeight="1" x14ac:dyDescent="0.35"/>
    <row r="61" spans="1:14" x14ac:dyDescent="0.35">
      <c r="D61" s="157"/>
      <c r="E61" s="157"/>
      <c r="F61" s="157"/>
      <c r="G61" s="157"/>
      <c r="H61" s="157"/>
      <c r="I61" s="157"/>
      <c r="J61" s="157"/>
      <c r="K61" s="157"/>
      <c r="L61" s="157"/>
      <c r="M61" s="157"/>
      <c r="N61" s="157"/>
    </row>
    <row r="62" spans="1:14" x14ac:dyDescent="0.35">
      <c r="J62" s="28"/>
      <c r="K62" s="28"/>
      <c r="L62" s="28"/>
      <c r="M62" s="28"/>
      <c r="N62" s="158"/>
    </row>
    <row r="63" spans="1:14" x14ac:dyDescent="0.35">
      <c r="J63" s="28"/>
      <c r="K63" s="28"/>
      <c r="L63" s="28"/>
      <c r="M63" s="28"/>
      <c r="N63" s="159"/>
    </row>
    <row r="64" spans="1:14" x14ac:dyDescent="0.35">
      <c r="H64" s="33"/>
      <c r="I64" s="33"/>
      <c r="J64" s="160"/>
      <c r="K64" s="28"/>
      <c r="L64" s="28"/>
      <c r="M64" s="160"/>
      <c r="N64" s="161"/>
    </row>
    <row r="65" spans="10:14" x14ac:dyDescent="0.35">
      <c r="J65" s="28"/>
      <c r="K65" s="28"/>
      <c r="L65" s="28"/>
      <c r="M65" s="28"/>
      <c r="N65" s="28"/>
    </row>
    <row r="66" spans="10:14" x14ac:dyDescent="0.35">
      <c r="J66" s="28"/>
      <c r="K66" s="28"/>
      <c r="L66" s="28"/>
      <c r="M66" s="28"/>
      <c r="N66" s="162"/>
    </row>
  </sheetData>
  <mergeCells count="2">
    <mergeCell ref="B1:B2"/>
    <mergeCell ref="C1:C2"/>
  </mergeCells>
  <conditionalFormatting sqref="A1:A54">
    <cfRule type="cellIs" dxfId="38" priority="1" operator="equal">
      <formula>"-"</formula>
    </cfRule>
  </conditionalFormatting>
  <conditionalFormatting sqref="B27:C28">
    <cfRule type="cellIs" dxfId="37" priority="7" operator="equal">
      <formula>"-"</formula>
    </cfRule>
  </conditionalFormatting>
  <conditionalFormatting sqref="B1:AH4 D5:AH5 B5:C24 D49:N59 A56:A1048576">
    <cfRule type="cellIs" dxfId="36" priority="2" operator="equal">
      <formula>"-"</formula>
    </cfRule>
  </conditionalFormatting>
  <conditionalFormatting sqref="D6:N28 B30:N30 B31:C45 D31:N46 B48:N48 C57:N57">
    <cfRule type="cellIs" dxfId="35" priority="8" operator="equal">
      <formula>"-"</formula>
    </cfRule>
  </conditionalFormatting>
  <conditionalFormatting sqref="J29">
    <cfRule type="cellIs" dxfId="34" priority="14" operator="equal">
      <formula>"-"</formula>
    </cfRule>
  </conditionalFormatting>
  <conditionalFormatting sqref="N62">
    <cfRule type="cellIs" dxfId="33" priority="12" operator="equal">
      <formula>"-"</formula>
    </cfRule>
  </conditionalFormatting>
  <hyperlinks>
    <hyperlink ref="B1:B2" location="Menu!A1" display="MENU" xr:uid="{6058852E-3CBB-46C0-B450-CCF76C8111D6}"/>
    <hyperlink ref="C1:C2" location="Menu!A1" display="MENU" xr:uid="{D8A8F539-D338-449F-865F-921F93C8E8D9}"/>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394C-CB33-4AB4-B910-1980A4EF1E14}">
  <sheetPr>
    <tabColor rgb="FF00B050"/>
  </sheetPr>
  <dimension ref="A1:T59"/>
  <sheetViews>
    <sheetView showGridLines="0" tabSelected="1" zoomScale="85" zoomScaleNormal="85" workbookViewId="0">
      <pane xSplit="3" ySplit="3" topLeftCell="F4" activePane="bottomRight" state="frozen"/>
      <selection pane="topRight" activeCell="D1" sqref="D1"/>
      <selection pane="bottomLeft" activeCell="A4" sqref="A4"/>
      <selection pane="bottomRight" activeCell="Q34" sqref="Q34"/>
    </sheetView>
  </sheetViews>
  <sheetFormatPr defaultColWidth="8.7265625" defaultRowHeight="16" outlineLevelCol="1" x14ac:dyDescent="0.35"/>
  <cols>
    <col min="1" max="1" width="1.6328125" style="164" customWidth="1"/>
    <col min="2" max="2" width="91.6328125" style="1" hidden="1" customWidth="1"/>
    <col min="3" max="3" width="91.6328125" style="1" customWidth="1" outlineLevel="1"/>
    <col min="4" max="12" width="17.6328125" style="1" customWidth="1"/>
    <col min="13" max="13" width="0.81640625" style="1" customWidth="1"/>
    <col min="14" max="17" width="17.6328125" style="1" customWidth="1"/>
    <col min="18" max="16384" width="8.7265625" style="1"/>
  </cols>
  <sheetData>
    <row r="1" spans="1:20" ht="16" customHeight="1" x14ac:dyDescent="0.35">
      <c r="B1" s="181" t="s">
        <v>15</v>
      </c>
      <c r="C1" s="180" t="s">
        <v>15</v>
      </c>
      <c r="D1" s="2"/>
      <c r="E1" s="2"/>
      <c r="F1" s="2"/>
      <c r="G1" s="2"/>
      <c r="L1" s="3"/>
    </row>
    <row r="2" spans="1:20" ht="16" customHeight="1" x14ac:dyDescent="0.35">
      <c r="B2" s="181"/>
      <c r="C2" s="180"/>
      <c r="D2" s="4"/>
      <c r="E2" s="4"/>
      <c r="F2" s="4"/>
      <c r="G2" s="163"/>
      <c r="H2" s="4"/>
      <c r="I2" s="4"/>
      <c r="J2" s="5"/>
      <c r="K2" s="6"/>
      <c r="L2" s="7"/>
      <c r="N2" s="4"/>
      <c r="O2" s="8"/>
      <c r="P2" s="9"/>
      <c r="Q2" s="8"/>
    </row>
    <row r="3" spans="1:20" ht="16" customHeight="1" x14ac:dyDescent="0.35">
      <c r="B3" s="10" t="s">
        <v>16</v>
      </c>
      <c r="C3" s="10" t="s">
        <v>308</v>
      </c>
      <c r="D3" s="10" t="s">
        <v>359</v>
      </c>
      <c r="E3" s="10" t="s">
        <v>360</v>
      </c>
      <c r="F3" s="10" t="s">
        <v>361</v>
      </c>
      <c r="G3" s="10" t="s">
        <v>336</v>
      </c>
      <c r="H3" s="10" t="s">
        <v>337</v>
      </c>
      <c r="I3" s="10" t="s">
        <v>338</v>
      </c>
      <c r="J3" s="10" t="s">
        <v>339</v>
      </c>
      <c r="K3" s="10" t="s">
        <v>340</v>
      </c>
      <c r="L3" s="10" t="s">
        <v>341</v>
      </c>
      <c r="M3" s="11"/>
      <c r="N3" s="10">
        <v>2022</v>
      </c>
      <c r="O3" s="10">
        <v>2023</v>
      </c>
      <c r="P3" s="10">
        <v>2024</v>
      </c>
      <c r="Q3" s="10">
        <v>2025</v>
      </c>
    </row>
    <row r="4" spans="1:20" s="12" customFormat="1" ht="16" customHeight="1" thickBot="1" x14ac:dyDescent="0.4">
      <c r="A4" s="164"/>
      <c r="B4" s="13" t="s">
        <v>26</v>
      </c>
      <c r="C4" s="13" t="s">
        <v>269</v>
      </c>
      <c r="D4" s="14">
        <f t="shared" ref="D4:K4" si="0">SUM(D5,D9,D11)</f>
        <v>1636.9850000000001</v>
      </c>
      <c r="E4" s="14">
        <f t="shared" si="0"/>
        <v>1682.3339999999998</v>
      </c>
      <c r="F4" s="14">
        <f t="shared" si="0"/>
        <v>1827.79</v>
      </c>
      <c r="G4" s="14">
        <f t="shared" si="0"/>
        <v>2137.252</v>
      </c>
      <c r="H4" s="14">
        <f t="shared" si="0"/>
        <v>2424.8780000000002</v>
      </c>
      <c r="I4" s="14">
        <f t="shared" si="0"/>
        <v>2510.5285849000002</v>
      </c>
      <c r="J4" s="14">
        <f t="shared" si="0"/>
        <v>2800.3788071000004</v>
      </c>
      <c r="K4" s="14">
        <f t="shared" si="0"/>
        <v>2958.4546080000009</v>
      </c>
      <c r="L4" s="14">
        <f>SUM(L5,L9,L11)</f>
        <v>2996.5820000000003</v>
      </c>
      <c r="M4" s="15"/>
      <c r="N4" s="14">
        <f t="shared" ref="N4:P4" si="1">SUM(N5,N9,N11)</f>
        <v>3322.049</v>
      </c>
      <c r="O4" s="14">
        <f t="shared" si="1"/>
        <v>4987.6439999999993</v>
      </c>
      <c r="P4" s="14">
        <f t="shared" si="1"/>
        <v>7284.3609999999999</v>
      </c>
      <c r="Q4" s="14">
        <f>SUM(Q5,Q9,Q11)</f>
        <v>10694.24</v>
      </c>
      <c r="R4" s="16"/>
      <c r="S4" s="1"/>
      <c r="T4" s="1"/>
    </row>
    <row r="5" spans="1:20" s="12" customFormat="1" ht="16" customHeight="1" thickBot="1" x14ac:dyDescent="0.4">
      <c r="A5" s="165"/>
      <c r="B5" s="13" t="s">
        <v>27</v>
      </c>
      <c r="C5" s="13" t="s">
        <v>287</v>
      </c>
      <c r="D5" s="17">
        <v>1494.375</v>
      </c>
      <c r="E5" s="17">
        <v>1583.7449999999999</v>
      </c>
      <c r="F5" s="17">
        <v>1697.5029999999999</v>
      </c>
      <c r="G5" s="17">
        <v>1889.6990000000001</v>
      </c>
      <c r="H5" s="18">
        <v>2065.11</v>
      </c>
      <c r="I5" s="17">
        <v>2216.0831447800001</v>
      </c>
      <c r="J5" s="17">
        <v>2529.4869446500002</v>
      </c>
      <c r="K5" s="17">
        <v>2711.8059105700013</v>
      </c>
      <c r="L5" s="18">
        <v>2710.1190000000001</v>
      </c>
      <c r="M5" s="15"/>
      <c r="N5" s="19">
        <v>3083.2350000000001</v>
      </c>
      <c r="O5" s="19">
        <v>4709.1229999999996</v>
      </c>
      <c r="P5" s="14">
        <v>6665.3220000000001</v>
      </c>
      <c r="Q5" s="14">
        <v>9522.4860000000008</v>
      </c>
      <c r="R5" s="16"/>
      <c r="S5" s="1"/>
      <c r="T5" s="1"/>
    </row>
    <row r="6" spans="1:20" ht="16" customHeight="1" thickBot="1" x14ac:dyDescent="0.4">
      <c r="B6" s="20" t="s">
        <v>28</v>
      </c>
      <c r="C6" s="20" t="s">
        <v>288</v>
      </c>
      <c r="D6" s="21">
        <f>D5-D7</f>
        <v>92.153373999999985</v>
      </c>
      <c r="E6" s="21">
        <f t="shared" ref="E6:K6" si="2">E5-E7</f>
        <v>104.63812099999996</v>
      </c>
      <c r="F6" s="21">
        <f t="shared" si="2"/>
        <v>119.79116700000009</v>
      </c>
      <c r="G6" s="21">
        <f t="shared" si="2"/>
        <v>151.12867000000006</v>
      </c>
      <c r="H6" s="21">
        <f t="shared" si="2"/>
        <v>133.91409716000021</v>
      </c>
      <c r="I6" s="21">
        <f t="shared" si="2"/>
        <v>155.04652077999981</v>
      </c>
      <c r="J6" s="21">
        <f t="shared" si="2"/>
        <v>266.67240487000026</v>
      </c>
      <c r="K6" s="21">
        <f t="shared" si="2"/>
        <v>425.52663686000005</v>
      </c>
      <c r="L6" s="22">
        <f>L5-L7</f>
        <v>497.84900000000016</v>
      </c>
      <c r="M6" s="15"/>
      <c r="N6" s="23"/>
      <c r="O6" s="23"/>
      <c r="P6" s="24">
        <v>423.49321899999995</v>
      </c>
      <c r="Q6" s="24">
        <v>981.15965967000034</v>
      </c>
    </row>
    <row r="7" spans="1:20" ht="16" customHeight="1" thickBot="1" x14ac:dyDescent="0.4">
      <c r="B7" s="20" t="s">
        <v>29</v>
      </c>
      <c r="C7" s="20" t="s">
        <v>289</v>
      </c>
      <c r="D7" s="21">
        <v>1402.221626</v>
      </c>
      <c r="E7" s="21">
        <v>1479.1068789999999</v>
      </c>
      <c r="F7" s="21">
        <v>1577.7118329999998</v>
      </c>
      <c r="G7" s="21">
        <v>1738.57033</v>
      </c>
      <c r="H7" s="22">
        <v>1931.1959028399999</v>
      </c>
      <c r="I7" s="21">
        <v>2061.0366240000003</v>
      </c>
      <c r="J7" s="21">
        <v>2262.8145397799999</v>
      </c>
      <c r="K7" s="21">
        <v>2286.2792737100012</v>
      </c>
      <c r="L7" s="22">
        <v>2212.27</v>
      </c>
      <c r="M7" s="15"/>
      <c r="N7" s="23"/>
      <c r="O7" s="23"/>
      <c r="P7" s="24">
        <v>6241.8287810000002</v>
      </c>
      <c r="Q7" s="24">
        <v>8541.3263403300007</v>
      </c>
    </row>
    <row r="8" spans="1:20" ht="16" customHeight="1" thickBot="1" x14ac:dyDescent="0.4">
      <c r="B8" s="25" t="s">
        <v>30</v>
      </c>
      <c r="C8" s="25" t="s">
        <v>290</v>
      </c>
      <c r="D8" s="21">
        <v>-602.51900000000001</v>
      </c>
      <c r="E8" s="21">
        <v>-633.06799999999998</v>
      </c>
      <c r="F8" s="21">
        <v>-684.71299999999997</v>
      </c>
      <c r="G8" s="21">
        <v>-850.553</v>
      </c>
      <c r="H8" s="21">
        <v>-950.08600000000001</v>
      </c>
      <c r="I8" s="21">
        <v>-1131.3204966800001</v>
      </c>
      <c r="J8" s="21">
        <v>-1414.49644483</v>
      </c>
      <c r="K8" s="21">
        <v>-1580.2690584899992</v>
      </c>
      <c r="L8" s="22">
        <v>-1627.3109999999999</v>
      </c>
      <c r="M8" s="15"/>
      <c r="N8" s="24">
        <v>-1066.7180000000001</v>
      </c>
      <c r="O8" s="24">
        <v>-1885.4349999999999</v>
      </c>
      <c r="P8" s="24">
        <v>-2770.8530000000001</v>
      </c>
      <c r="Q8" s="24">
        <v>-5076.1719999999996</v>
      </c>
    </row>
    <row r="9" spans="1:20" ht="16" customHeight="1" thickBot="1" x14ac:dyDescent="0.4">
      <c r="A9" s="165"/>
      <c r="B9" s="25" t="s">
        <v>31</v>
      </c>
      <c r="C9" s="25" t="s">
        <v>291</v>
      </c>
      <c r="D9" s="21">
        <v>38.371000000000002</v>
      </c>
      <c r="E9" s="21">
        <v>10.664999999999999</v>
      </c>
      <c r="F9" s="21">
        <v>-4.2629999999999999</v>
      </c>
      <c r="G9" s="21">
        <v>47.338999999999999</v>
      </c>
      <c r="H9" s="21">
        <v>43.872999999999998</v>
      </c>
      <c r="I9" s="21">
        <v>87.925440120000005</v>
      </c>
      <c r="J9" s="21">
        <v>82.846862450000003</v>
      </c>
      <c r="K9" s="21">
        <v>88.573697429999982</v>
      </c>
      <c r="L9" s="22">
        <v>185.74799999999999</v>
      </c>
      <c r="M9" s="15"/>
      <c r="N9" s="24">
        <v>104.149</v>
      </c>
      <c r="O9" s="24">
        <v>81.248999999999995</v>
      </c>
      <c r="P9" s="24">
        <v>92.111999999999995</v>
      </c>
      <c r="Q9" s="24">
        <v>303.21899999999999</v>
      </c>
      <c r="S9" s="16"/>
    </row>
    <row r="10" spans="1:20" s="12" customFormat="1" ht="16" customHeight="1" thickBot="1" x14ac:dyDescent="0.4">
      <c r="A10" s="165"/>
      <c r="B10" s="13" t="s">
        <v>32</v>
      </c>
      <c r="C10" s="13" t="s">
        <v>292</v>
      </c>
      <c r="D10" s="14">
        <f t="shared" ref="D10:G10" si="3">SUM(D5,D8:D9)</f>
        <v>930.22699999999998</v>
      </c>
      <c r="E10" s="14">
        <f t="shared" si="3"/>
        <v>961.34199999999987</v>
      </c>
      <c r="F10" s="14">
        <f t="shared" si="3"/>
        <v>1008.5269999999999</v>
      </c>
      <c r="G10" s="14">
        <f t="shared" si="3"/>
        <v>1086.4850000000001</v>
      </c>
      <c r="H10" s="14">
        <f>SUM(H5,H8:H9)</f>
        <v>1158.8970000000002</v>
      </c>
      <c r="I10" s="14">
        <f>SUM(I5,I8:I9)</f>
        <v>1172.6880882200001</v>
      </c>
      <c r="J10" s="14">
        <f>SUM(J5,J8:J9)</f>
        <v>1197.8373622700001</v>
      </c>
      <c r="K10" s="14">
        <f>SUM(K5,K8:K9)</f>
        <v>1220.1105495100021</v>
      </c>
      <c r="L10" s="14">
        <f>SUM(L5,L8:L9)</f>
        <v>1268.5560000000003</v>
      </c>
      <c r="M10" s="15"/>
      <c r="N10" s="14">
        <f>SUM(N5,N8:N9)</f>
        <v>2120.6660000000002</v>
      </c>
      <c r="O10" s="14">
        <f>SUM(O5,O8:O9)</f>
        <v>2904.9369999999994</v>
      </c>
      <c r="P10" s="14">
        <f>SUM(P5,P8:P9)</f>
        <v>3986.5810000000001</v>
      </c>
      <c r="Q10" s="14">
        <f>SUM(Q5,Q8:Q9)</f>
        <v>4749.5330000000013</v>
      </c>
      <c r="R10" s="16"/>
      <c r="S10" s="1"/>
      <c r="T10" s="1"/>
    </row>
    <row r="11" spans="1:20" ht="16" customHeight="1" thickBot="1" x14ac:dyDescent="0.4">
      <c r="A11" s="165"/>
      <c r="B11" s="25" t="s">
        <v>33</v>
      </c>
      <c r="C11" s="25" t="s">
        <v>293</v>
      </c>
      <c r="D11" s="24">
        <v>104.239</v>
      </c>
      <c r="E11" s="24">
        <v>87.924000000000007</v>
      </c>
      <c r="F11" s="24">
        <v>134.55000000000001</v>
      </c>
      <c r="G11" s="24">
        <v>200.214</v>
      </c>
      <c r="H11" s="24">
        <v>315.89499999999998</v>
      </c>
      <c r="I11" s="24">
        <v>206.52</v>
      </c>
      <c r="J11" s="24">
        <v>188.04499999999999</v>
      </c>
      <c r="K11" s="24">
        <v>158.07500000000005</v>
      </c>
      <c r="L11" s="26">
        <v>100.715</v>
      </c>
      <c r="M11" s="15"/>
      <c r="N11" s="24">
        <v>134.66499999999999</v>
      </c>
      <c r="O11" s="24">
        <v>197.27199999999999</v>
      </c>
      <c r="P11" s="24">
        <v>526.92700000000002</v>
      </c>
      <c r="Q11" s="24">
        <v>868.53499999999997</v>
      </c>
      <c r="S11" s="12"/>
    </row>
    <row r="12" spans="1:20" s="12" customFormat="1" ht="16" customHeight="1" thickBot="1" x14ac:dyDescent="0.4">
      <c r="A12" s="165"/>
      <c r="B12" s="13" t="s">
        <v>34</v>
      </c>
      <c r="C12" s="13" t="s">
        <v>294</v>
      </c>
      <c r="D12" s="14">
        <f t="shared" ref="D12:L12" si="4">SUM(D10:D11)</f>
        <v>1034.4659999999999</v>
      </c>
      <c r="E12" s="14">
        <f t="shared" si="4"/>
        <v>1049.2659999999998</v>
      </c>
      <c r="F12" s="14">
        <f t="shared" si="4"/>
        <v>1143.077</v>
      </c>
      <c r="G12" s="14">
        <f t="shared" si="4"/>
        <v>1286.6990000000001</v>
      </c>
      <c r="H12" s="14">
        <f t="shared" si="4"/>
        <v>1474.7920000000001</v>
      </c>
      <c r="I12" s="14">
        <f t="shared" si="4"/>
        <v>1379.20808822</v>
      </c>
      <c r="J12" s="14">
        <f t="shared" si="4"/>
        <v>1385.8823622700002</v>
      </c>
      <c r="K12" s="14">
        <f t="shared" si="4"/>
        <v>1378.1855495100021</v>
      </c>
      <c r="L12" s="14">
        <f t="shared" si="4"/>
        <v>1369.2710000000002</v>
      </c>
      <c r="M12" s="15"/>
      <c r="N12" s="14">
        <f>SUM(N10:N11)</f>
        <v>2255.3310000000001</v>
      </c>
      <c r="O12" s="14">
        <f>SUM(O10:O11)</f>
        <v>3102.2089999999994</v>
      </c>
      <c r="P12" s="14">
        <f>SUM(P10:P11)</f>
        <v>4513.5079999999998</v>
      </c>
      <c r="Q12" s="14">
        <f>SUM(Q10:Q11)</f>
        <v>5618.0680000000011</v>
      </c>
      <c r="S12" s="1"/>
      <c r="T12" s="1"/>
    </row>
    <row r="13" spans="1:20" ht="16" customHeight="1" thickBot="1" x14ac:dyDescent="0.4">
      <c r="A13" s="165"/>
      <c r="B13" s="27" t="s">
        <v>35</v>
      </c>
      <c r="C13" s="27" t="s">
        <v>295</v>
      </c>
      <c r="D13" s="24">
        <v>-232.161</v>
      </c>
      <c r="E13" s="24">
        <v>-210.52199999999999</v>
      </c>
      <c r="F13" s="24">
        <v>-341.14800000000002</v>
      </c>
      <c r="G13" s="24">
        <v>-349.88</v>
      </c>
      <c r="H13" s="24">
        <v>-361.45400000000001</v>
      </c>
      <c r="I13" s="24">
        <v>-351.47800000000001</v>
      </c>
      <c r="J13" s="24">
        <v>-443.05</v>
      </c>
      <c r="K13" s="21">
        <v>-544.51</v>
      </c>
      <c r="L13" s="22">
        <v>-498.98099999999999</v>
      </c>
      <c r="M13" s="15"/>
      <c r="N13" s="24">
        <v>-584.02700000000004</v>
      </c>
      <c r="O13" s="24">
        <v>-788.05399999999997</v>
      </c>
      <c r="P13" s="24">
        <v>-1133.711</v>
      </c>
      <c r="Q13" s="24">
        <v>-1700.492</v>
      </c>
    </row>
    <row r="14" spans="1:20" ht="16" customHeight="1" thickBot="1" x14ac:dyDescent="0.4">
      <c r="B14" s="25" t="s">
        <v>36</v>
      </c>
      <c r="C14" s="25" t="s">
        <v>296</v>
      </c>
      <c r="D14" s="24">
        <v>-121.539</v>
      </c>
      <c r="E14" s="24">
        <v>-116.048</v>
      </c>
      <c r="F14" s="24">
        <v>-98.331999999999994</v>
      </c>
      <c r="G14" s="24">
        <v>-112.93899999999999</v>
      </c>
      <c r="H14" s="24">
        <v>-87.569000000000003</v>
      </c>
      <c r="I14" s="24">
        <v>-143.91800000000001</v>
      </c>
      <c r="J14" s="24">
        <v>-141.37700000000001</v>
      </c>
      <c r="K14" s="21">
        <v>-151.80899999999997</v>
      </c>
      <c r="L14" s="26">
        <v>-90.57</v>
      </c>
      <c r="M14" s="15"/>
      <c r="N14" s="24">
        <v>-412.49099999999999</v>
      </c>
      <c r="O14" s="24">
        <v>-438.74900000000002</v>
      </c>
      <c r="P14" s="24">
        <v>-448.86500000000001</v>
      </c>
      <c r="Q14" s="24">
        <v>-524.67399999999998</v>
      </c>
    </row>
    <row r="15" spans="1:20" ht="16" customHeight="1" thickBot="1" x14ac:dyDescent="0.4">
      <c r="A15" s="166"/>
      <c r="B15" s="25" t="s">
        <v>37</v>
      </c>
      <c r="C15" s="25" t="s">
        <v>297</v>
      </c>
      <c r="D15" s="24">
        <v>-243.38800000000001</v>
      </c>
      <c r="E15" s="24">
        <v>-280.16399999999999</v>
      </c>
      <c r="F15" s="24">
        <v>-307.666</v>
      </c>
      <c r="G15" s="24">
        <v>-394.625</v>
      </c>
      <c r="H15" s="24">
        <v>-317.82900000000001</v>
      </c>
      <c r="I15" s="24">
        <v>-330.96408821999995</v>
      </c>
      <c r="J15" s="24">
        <v>-390.49536226999999</v>
      </c>
      <c r="K15" s="21">
        <v>-271.47554951000006</v>
      </c>
      <c r="L15" s="26">
        <v>-381.83</v>
      </c>
      <c r="M15" s="15"/>
      <c r="N15" s="24">
        <v>-675.64400000000001</v>
      </c>
      <c r="O15" s="24">
        <v>-875.69200000000001</v>
      </c>
      <c r="P15" s="24">
        <v>-1225.837</v>
      </c>
      <c r="Q15" s="24">
        <v>-1310.7639999999999</v>
      </c>
    </row>
    <row r="16" spans="1:20" ht="16" customHeight="1" thickBot="1" x14ac:dyDescent="0.4">
      <c r="B16" s="25" t="s">
        <v>38</v>
      </c>
      <c r="C16" s="25" t="s">
        <v>298</v>
      </c>
      <c r="D16" s="24">
        <v>-94.34</v>
      </c>
      <c r="E16" s="24">
        <v>-93.391999999999996</v>
      </c>
      <c r="F16" s="24">
        <v>-112.127</v>
      </c>
      <c r="G16" s="24">
        <v>-130.11000000000001</v>
      </c>
      <c r="H16" s="24">
        <v>-147.86000000000001</v>
      </c>
      <c r="I16" s="24">
        <v>-118.354</v>
      </c>
      <c r="J16" s="24">
        <v>-121.73099999999999</v>
      </c>
      <c r="K16" s="21">
        <v>-115.85899999999998</v>
      </c>
      <c r="L16" s="26">
        <v>-111.04600000000001</v>
      </c>
      <c r="M16" s="15"/>
      <c r="N16" s="24">
        <v>-219.417</v>
      </c>
      <c r="O16" s="24">
        <v>-276.04700000000003</v>
      </c>
      <c r="P16" s="24">
        <v>-429.96899999999999</v>
      </c>
      <c r="Q16" s="24">
        <v>-503.80399999999997</v>
      </c>
    </row>
    <row r="17" spans="1:17" ht="16" customHeight="1" thickBot="1" x14ac:dyDescent="0.4">
      <c r="B17" s="25" t="s">
        <v>39</v>
      </c>
      <c r="C17" s="25" t="s">
        <v>299</v>
      </c>
      <c r="D17" s="24">
        <v>-36.923999999999999</v>
      </c>
      <c r="E17" s="24">
        <v>-41.018000000000001</v>
      </c>
      <c r="F17" s="24">
        <v>-42.398000000000003</v>
      </c>
      <c r="G17" s="24">
        <v>-44.503999999999998</v>
      </c>
      <c r="H17" s="24">
        <v>-46.929000000000002</v>
      </c>
      <c r="I17" s="24">
        <v>-48.442</v>
      </c>
      <c r="J17" s="24">
        <v>-51.280999999999999</v>
      </c>
      <c r="K17" s="21">
        <v>-55.157999999999987</v>
      </c>
      <c r="L17" s="26">
        <v>-53.686999999999998</v>
      </c>
      <c r="M17" s="15"/>
      <c r="N17" s="24">
        <v>-119.842</v>
      </c>
      <c r="O17" s="24">
        <v>-134.858</v>
      </c>
      <c r="P17" s="24">
        <v>-164.84200000000001</v>
      </c>
      <c r="Q17" s="24">
        <v>-201.86799999999999</v>
      </c>
    </row>
    <row r="18" spans="1:17" ht="16" customHeight="1" thickBot="1" x14ac:dyDescent="0.4">
      <c r="B18" s="13" t="s">
        <v>40</v>
      </c>
      <c r="C18" s="13" t="s">
        <v>300</v>
      </c>
      <c r="D18" s="14">
        <f t="shared" ref="D18:K18" si="5">SUM(D13:D17)</f>
        <v>-728.35199999999998</v>
      </c>
      <c r="E18" s="14">
        <f t="shared" si="5"/>
        <v>-741.14400000000001</v>
      </c>
      <c r="F18" s="14">
        <f t="shared" si="5"/>
        <v>-901.67099999999994</v>
      </c>
      <c r="G18" s="14">
        <f t="shared" si="5"/>
        <v>-1032.058</v>
      </c>
      <c r="H18" s="14">
        <f t="shared" si="5"/>
        <v>-961.64100000000008</v>
      </c>
      <c r="I18" s="14">
        <f t="shared" si="5"/>
        <v>-993.15608822000002</v>
      </c>
      <c r="J18" s="14">
        <f t="shared" si="5"/>
        <v>-1147.9343622699998</v>
      </c>
      <c r="K18" s="14">
        <f t="shared" si="5"/>
        <v>-1138.8115495099998</v>
      </c>
      <c r="L18" s="14">
        <f>SUM(L13:L17)</f>
        <v>-1136.1139999999998</v>
      </c>
      <c r="M18" s="15"/>
      <c r="N18" s="14">
        <f t="shared" ref="N18:Q18" si="6">SUM(N13:N17)</f>
        <v>-2011.421</v>
      </c>
      <c r="O18" s="14">
        <f t="shared" si="6"/>
        <v>-2513.4</v>
      </c>
      <c r="P18" s="14">
        <f t="shared" si="6"/>
        <v>-3403.2240000000002</v>
      </c>
      <c r="Q18" s="14">
        <f t="shared" si="6"/>
        <v>-4241.6020000000008</v>
      </c>
    </row>
    <row r="19" spans="1:17" s="28" customFormat="1" ht="16" customHeight="1" thickBot="1" x14ac:dyDescent="0.4">
      <c r="A19" s="164"/>
      <c r="B19" s="29" t="s">
        <v>41</v>
      </c>
      <c r="C19" s="29" t="s">
        <v>301</v>
      </c>
      <c r="D19" s="30">
        <f t="shared" ref="D19:K19" si="7">SUM(D12,D18)</f>
        <v>306.11399999999992</v>
      </c>
      <c r="E19" s="30">
        <f t="shared" si="7"/>
        <v>308.12199999999984</v>
      </c>
      <c r="F19" s="30">
        <f t="shared" si="7"/>
        <v>241.40600000000006</v>
      </c>
      <c r="G19" s="30">
        <f t="shared" si="7"/>
        <v>254.64100000000008</v>
      </c>
      <c r="H19" s="30">
        <f t="shared" si="7"/>
        <v>513.15100000000007</v>
      </c>
      <c r="I19" s="30">
        <f t="shared" si="7"/>
        <v>386.05200000000002</v>
      </c>
      <c r="J19" s="30">
        <f t="shared" si="7"/>
        <v>237.94800000000032</v>
      </c>
      <c r="K19" s="30">
        <f t="shared" si="7"/>
        <v>239.3740000000023</v>
      </c>
      <c r="L19" s="30">
        <f>SUM(L12,L18)</f>
        <v>233.15700000000038</v>
      </c>
      <c r="M19" s="15"/>
      <c r="N19" s="30">
        <f t="shared" ref="N19:Q19" si="8">SUM(N12,N18)</f>
        <v>243.91000000000008</v>
      </c>
      <c r="O19" s="30">
        <f t="shared" si="8"/>
        <v>588.80899999999929</v>
      </c>
      <c r="P19" s="30">
        <f t="shared" si="8"/>
        <v>1110.2839999999997</v>
      </c>
      <c r="Q19" s="30">
        <f t="shared" si="8"/>
        <v>1376.4660000000003</v>
      </c>
    </row>
    <row r="20" spans="1:17" ht="16" customHeight="1" thickBot="1" x14ac:dyDescent="0.4">
      <c r="B20" s="27" t="s">
        <v>42</v>
      </c>
      <c r="C20" s="27" t="s">
        <v>303</v>
      </c>
      <c r="D20" s="31">
        <v>0</v>
      </c>
      <c r="E20" s="31">
        <v>0</v>
      </c>
      <c r="F20" s="31">
        <v>0</v>
      </c>
      <c r="G20" s="31">
        <v>-11.723000000000001</v>
      </c>
      <c r="H20" s="31">
        <v>0</v>
      </c>
      <c r="I20" s="31">
        <v>0</v>
      </c>
      <c r="J20" s="31">
        <v>0</v>
      </c>
      <c r="K20" s="31">
        <v>0</v>
      </c>
      <c r="L20" s="32">
        <v>0</v>
      </c>
      <c r="M20" s="15"/>
      <c r="N20" s="24">
        <v>0</v>
      </c>
      <c r="O20" s="24">
        <v>0</v>
      </c>
      <c r="P20" s="24">
        <v>-11.723000000000001</v>
      </c>
      <c r="Q20" s="24">
        <v>0</v>
      </c>
    </row>
    <row r="21" spans="1:17" ht="16" customHeight="1" thickBot="1" x14ac:dyDescent="0.4">
      <c r="B21" s="27" t="s">
        <v>43</v>
      </c>
      <c r="C21" s="27" t="s">
        <v>302</v>
      </c>
      <c r="D21" s="31">
        <v>-4.0910000000000002</v>
      </c>
      <c r="E21" s="31">
        <v>-19.536000000000001</v>
      </c>
      <c r="F21" s="31">
        <v>-33.728000000000002</v>
      </c>
      <c r="G21" s="31">
        <v>-0.19400000000000001</v>
      </c>
      <c r="H21" s="31">
        <v>-1.48</v>
      </c>
      <c r="I21" s="31">
        <v>-18.148</v>
      </c>
      <c r="J21" s="31">
        <v>-18.744</v>
      </c>
      <c r="K21" s="31">
        <v>-1.2730000000000032</v>
      </c>
      <c r="L21" s="32">
        <v>-17.085000000000001</v>
      </c>
      <c r="M21" s="15"/>
      <c r="N21" s="24">
        <v>0.33400000000000002</v>
      </c>
      <c r="O21" s="24">
        <v>-7.1740000000000004</v>
      </c>
      <c r="P21" s="24">
        <v>-57.55</v>
      </c>
      <c r="Q21" s="24">
        <v>-39.645000000000003</v>
      </c>
    </row>
    <row r="22" spans="1:17" ht="16" customHeight="1" thickBot="1" x14ac:dyDescent="0.4">
      <c r="B22" s="27" t="s">
        <v>44</v>
      </c>
      <c r="C22" s="27" t="s">
        <v>307</v>
      </c>
      <c r="D22" s="31">
        <v>0</v>
      </c>
      <c r="E22" s="31">
        <v>0</v>
      </c>
      <c r="F22" s="31">
        <v>0</v>
      </c>
      <c r="G22" s="31">
        <v>0</v>
      </c>
      <c r="H22" s="31">
        <v>0</v>
      </c>
      <c r="I22" s="31">
        <v>0</v>
      </c>
      <c r="J22" s="31">
        <v>0</v>
      </c>
      <c r="K22" s="31">
        <v>0</v>
      </c>
      <c r="L22" s="32">
        <v>0</v>
      </c>
      <c r="M22" s="15"/>
      <c r="N22" s="24">
        <v>0</v>
      </c>
      <c r="O22" s="24">
        <v>0</v>
      </c>
      <c r="P22" s="24">
        <v>0</v>
      </c>
      <c r="Q22" s="24">
        <v>0</v>
      </c>
    </row>
    <row r="23" spans="1:17" ht="16" customHeight="1" thickBot="1" x14ac:dyDescent="0.4">
      <c r="B23" s="29" t="s">
        <v>45</v>
      </c>
      <c r="C23" s="29" t="s">
        <v>286</v>
      </c>
      <c r="D23" s="30">
        <f t="shared" ref="D23:K23" si="9">SUM(D12,D18,D20:D22)</f>
        <v>302.02299999999991</v>
      </c>
      <c r="E23" s="30">
        <f t="shared" si="9"/>
        <v>288.58599999999984</v>
      </c>
      <c r="F23" s="30">
        <f t="shared" si="9"/>
        <v>207.67800000000005</v>
      </c>
      <c r="G23" s="30">
        <f t="shared" si="9"/>
        <v>242.72400000000007</v>
      </c>
      <c r="H23" s="30">
        <f t="shared" si="9"/>
        <v>511.67100000000005</v>
      </c>
      <c r="I23" s="30">
        <f t="shared" si="9"/>
        <v>367.904</v>
      </c>
      <c r="J23" s="30">
        <f t="shared" si="9"/>
        <v>219.20400000000032</v>
      </c>
      <c r="K23" s="30">
        <f t="shared" si="9"/>
        <v>238.1010000000023</v>
      </c>
      <c r="L23" s="30">
        <f>SUM(L12,L18,L20:L22)</f>
        <v>216.07200000000037</v>
      </c>
      <c r="M23" s="15"/>
      <c r="N23" s="30">
        <f t="shared" ref="N23:Q23" si="10">SUM(N12,N18,N20:N22)</f>
        <v>244.24400000000009</v>
      </c>
      <c r="O23" s="30">
        <f t="shared" si="10"/>
        <v>581.63499999999931</v>
      </c>
      <c r="P23" s="30">
        <f t="shared" si="10"/>
        <v>1041.0109999999997</v>
      </c>
      <c r="Q23" s="30">
        <f t="shared" si="10"/>
        <v>1336.8210000000004</v>
      </c>
    </row>
    <row r="24" spans="1:17" ht="16" customHeight="1" thickBot="1" x14ac:dyDescent="0.4">
      <c r="B24" s="27" t="s">
        <v>46</v>
      </c>
      <c r="C24" s="27" t="s">
        <v>282</v>
      </c>
      <c r="D24" s="31">
        <v>-107.741</v>
      </c>
      <c r="E24" s="31">
        <v>-73.435000000000002</v>
      </c>
      <c r="F24" s="31">
        <v>-113.714</v>
      </c>
      <c r="G24" s="31">
        <v>-138.74799999999999</v>
      </c>
      <c r="H24" s="31">
        <v>-234.10900000000001</v>
      </c>
      <c r="I24" s="31">
        <v>-58.741999999999997</v>
      </c>
      <c r="J24" s="31">
        <v>-178.499</v>
      </c>
      <c r="K24" s="31">
        <v>-229.21699999999998</v>
      </c>
      <c r="L24" s="32">
        <v>-179.68299999999999</v>
      </c>
      <c r="M24" s="15"/>
      <c r="N24" s="24">
        <v>-80.694999999999993</v>
      </c>
      <c r="O24" s="24">
        <v>-221.524</v>
      </c>
      <c r="P24" s="24">
        <v>-433.63799999999998</v>
      </c>
      <c r="Q24" s="24">
        <v>-700.56700000000001</v>
      </c>
    </row>
    <row r="25" spans="1:17" ht="16" customHeight="1" thickBot="1" x14ac:dyDescent="0.4">
      <c r="B25" s="27" t="s">
        <v>47</v>
      </c>
      <c r="C25" s="27" t="s">
        <v>283</v>
      </c>
      <c r="D25" s="31">
        <v>12.548</v>
      </c>
      <c r="E25" s="31">
        <v>13.316000000000001</v>
      </c>
      <c r="F25" s="31">
        <v>67.941999999999993</v>
      </c>
      <c r="G25" s="31">
        <v>92.756</v>
      </c>
      <c r="H25" s="31">
        <v>78.908000000000001</v>
      </c>
      <c r="I25" s="31">
        <v>-44.338000000000001</v>
      </c>
      <c r="J25" s="31">
        <v>169.755</v>
      </c>
      <c r="K25" s="31">
        <v>206.03399999999999</v>
      </c>
      <c r="L25" s="32">
        <v>150.14599999999999</v>
      </c>
      <c r="M25" s="15"/>
      <c r="N25" s="24">
        <v>7.7789999999999999</v>
      </c>
      <c r="O25" s="24">
        <v>65.947000000000003</v>
      </c>
      <c r="P25" s="24">
        <v>186.983</v>
      </c>
      <c r="Q25" s="24">
        <v>410.35899999999998</v>
      </c>
    </row>
    <row r="26" spans="1:17" ht="16" customHeight="1" thickBot="1" x14ac:dyDescent="0.4">
      <c r="B26" s="29" t="s">
        <v>48</v>
      </c>
      <c r="C26" s="29" t="s">
        <v>284</v>
      </c>
      <c r="D26" s="31">
        <v>0</v>
      </c>
      <c r="E26" s="31">
        <v>0</v>
      </c>
      <c r="F26" s="31">
        <v>0</v>
      </c>
      <c r="G26" s="30">
        <v>0</v>
      </c>
      <c r="H26" s="30">
        <v>0</v>
      </c>
      <c r="I26" s="30">
        <v>0</v>
      </c>
      <c r="J26" s="30">
        <v>0</v>
      </c>
      <c r="K26" s="30">
        <v>0</v>
      </c>
      <c r="L26" s="30">
        <v>0</v>
      </c>
      <c r="M26" s="15"/>
      <c r="N26" s="14">
        <v>1.349</v>
      </c>
      <c r="O26" s="14">
        <v>0</v>
      </c>
      <c r="P26" s="14">
        <v>0</v>
      </c>
      <c r="Q26" s="24">
        <v>0</v>
      </c>
    </row>
    <row r="27" spans="1:17" ht="16" customHeight="1" thickBot="1" x14ac:dyDescent="0.4">
      <c r="B27" s="29" t="s">
        <v>49</v>
      </c>
      <c r="C27" s="29" t="s">
        <v>304</v>
      </c>
      <c r="D27" s="30">
        <f t="shared" ref="D27:K27" si="11">SUM(D23:D26)</f>
        <v>206.82999999999993</v>
      </c>
      <c r="E27" s="30">
        <f t="shared" si="11"/>
        <v>228.46699999999984</v>
      </c>
      <c r="F27" s="30">
        <f t="shared" si="11"/>
        <v>161.90600000000006</v>
      </c>
      <c r="G27" s="30">
        <f t="shared" si="11"/>
        <v>196.73200000000008</v>
      </c>
      <c r="H27" s="30">
        <f t="shared" si="11"/>
        <v>356.47</v>
      </c>
      <c r="I27" s="30">
        <f t="shared" si="11"/>
        <v>264.82399999999996</v>
      </c>
      <c r="J27" s="30">
        <f t="shared" si="11"/>
        <v>210.46000000000032</v>
      </c>
      <c r="K27" s="30">
        <f t="shared" si="11"/>
        <v>214.91800000000231</v>
      </c>
      <c r="L27" s="30">
        <f t="shared" ref="L27" si="12">SUM(L23:L26)</f>
        <v>186.53500000000037</v>
      </c>
      <c r="M27" s="15"/>
      <c r="N27" s="14">
        <f>SUM(N23:N26)</f>
        <v>172.67700000000008</v>
      </c>
      <c r="O27" s="14">
        <f>SUM(O23:O26)</f>
        <v>426.05799999999931</v>
      </c>
      <c r="P27" s="14">
        <f>SUM(P23:P26)</f>
        <v>794.35599999999977</v>
      </c>
      <c r="Q27" s="14">
        <v>1046.6130000000001</v>
      </c>
    </row>
    <row r="28" spans="1:17" ht="16" customHeight="1" thickBot="1" x14ac:dyDescent="0.4">
      <c r="B28" s="27" t="s">
        <v>50</v>
      </c>
      <c r="C28" s="27" t="s">
        <v>305</v>
      </c>
      <c r="D28" s="31">
        <v>206.3780967651812</v>
      </c>
      <c r="E28" s="31">
        <v>228.09646265592718</v>
      </c>
      <c r="F28" s="31">
        <v>161.3316861734242</v>
      </c>
      <c r="G28" s="31">
        <v>194.7862996087417</v>
      </c>
      <c r="H28" s="31">
        <v>349.92502677629636</v>
      </c>
      <c r="I28" s="31">
        <v>263.63506608535795</v>
      </c>
      <c r="J28" s="31">
        <v>209.35507782104077</v>
      </c>
      <c r="K28" s="31">
        <v>214.91782931730495</v>
      </c>
      <c r="L28" s="32">
        <v>186.535</v>
      </c>
      <c r="M28" s="15"/>
      <c r="N28" s="24">
        <v>168.88472625612229</v>
      </c>
      <c r="O28" s="24">
        <v>421.99100002566553</v>
      </c>
      <c r="P28" s="24">
        <v>791.01400000000001</v>
      </c>
      <c r="Q28" s="24">
        <v>1037.8330000000001</v>
      </c>
    </row>
    <row r="29" spans="1:17" ht="16" customHeight="1" thickBot="1" x14ac:dyDescent="0.4">
      <c r="B29" s="27" t="s">
        <v>51</v>
      </c>
      <c r="C29" s="27" t="s">
        <v>306</v>
      </c>
      <c r="D29" s="31">
        <v>0.45190323481880501</v>
      </c>
      <c r="E29" s="31">
        <v>0.37053734407282524</v>
      </c>
      <c r="F29" s="31">
        <v>0.5743138265757971</v>
      </c>
      <c r="G29" s="31">
        <v>1.9457003912582829</v>
      </c>
      <c r="H29" s="31">
        <v>6.4859732237036392</v>
      </c>
      <c r="I29" s="31">
        <v>1.1889339146420324</v>
      </c>
      <c r="J29" s="31">
        <v>1.1049221789592161</v>
      </c>
      <c r="K29" s="31">
        <v>1.7068269511177903E-4</v>
      </c>
      <c r="L29" s="32">
        <v>0</v>
      </c>
      <c r="N29" s="24">
        <v>3.7922737438777192</v>
      </c>
      <c r="O29" s="24">
        <v>4.0669999743345047</v>
      </c>
      <c r="P29" s="24">
        <v>3.3420000000000001</v>
      </c>
      <c r="Q29" s="24">
        <v>8.7799999999999994</v>
      </c>
    </row>
    <row r="30" spans="1:17" ht="16" customHeight="1" x14ac:dyDescent="0.35">
      <c r="L30" s="33"/>
      <c r="N30" s="34"/>
      <c r="O30" s="34"/>
      <c r="P30" s="34"/>
      <c r="Q30" s="34"/>
    </row>
    <row r="31" spans="1:17" ht="16" customHeight="1" x14ac:dyDescent="0.35">
      <c r="B31" s="10" t="s">
        <v>52</v>
      </c>
      <c r="C31" s="10" t="s">
        <v>309</v>
      </c>
      <c r="D31" s="10" t="s">
        <v>359</v>
      </c>
      <c r="E31" s="10" t="s">
        <v>360</v>
      </c>
      <c r="F31" s="10" t="s">
        <v>361</v>
      </c>
      <c r="G31" s="10" t="s">
        <v>336</v>
      </c>
      <c r="H31" s="10" t="s">
        <v>337</v>
      </c>
      <c r="I31" s="10" t="s">
        <v>338</v>
      </c>
      <c r="J31" s="10" t="s">
        <v>339</v>
      </c>
      <c r="K31" s="10" t="s">
        <v>340</v>
      </c>
      <c r="L31" s="10" t="s">
        <v>341</v>
      </c>
      <c r="M31" s="11"/>
      <c r="N31" s="10">
        <v>2022</v>
      </c>
      <c r="O31" s="10">
        <v>2023</v>
      </c>
      <c r="P31" s="10">
        <v>2024</v>
      </c>
      <c r="Q31" s="10">
        <v>2025</v>
      </c>
    </row>
    <row r="32" spans="1:17" ht="16" customHeight="1" thickBot="1" x14ac:dyDescent="0.4">
      <c r="B32" s="13" t="s">
        <v>26</v>
      </c>
      <c r="C32" s="13" t="s">
        <v>269</v>
      </c>
      <c r="D32" s="14">
        <f t="shared" ref="D32:J32" si="13">SUM(D33,D37,D39)</f>
        <v>1636.9850000000001</v>
      </c>
      <c r="E32" s="14">
        <f t="shared" si="13"/>
        <v>1682.3339999999998</v>
      </c>
      <c r="F32" s="14">
        <f t="shared" si="13"/>
        <v>1827.79</v>
      </c>
      <c r="G32" s="14">
        <f t="shared" si="13"/>
        <v>2137.252</v>
      </c>
      <c r="H32" s="14">
        <f t="shared" si="13"/>
        <v>2424.8780000000002</v>
      </c>
      <c r="I32" s="14">
        <f t="shared" si="13"/>
        <v>2510.5285849000002</v>
      </c>
      <c r="J32" s="14">
        <f t="shared" si="13"/>
        <v>2800.3788071000004</v>
      </c>
      <c r="K32" s="14">
        <f t="shared" ref="K32:K45" si="14">K4</f>
        <v>2958.4546080000009</v>
      </c>
      <c r="L32" s="14">
        <f>SUM(L33,L37,L39)</f>
        <v>2996.5820000000003</v>
      </c>
      <c r="M32" s="12"/>
      <c r="N32" s="14">
        <f t="shared" ref="N32:P32" si="15">SUM(N33,N37,N39)</f>
        <v>3322.049</v>
      </c>
      <c r="O32" s="14">
        <f t="shared" si="15"/>
        <v>4987.6439999999993</v>
      </c>
      <c r="P32" s="14">
        <f t="shared" si="15"/>
        <v>7284.3609999999999</v>
      </c>
      <c r="Q32" s="14">
        <f>SUM(Q33,Q37,Q39)</f>
        <v>10694.24</v>
      </c>
    </row>
    <row r="33" spans="2:17" ht="16" customHeight="1" thickBot="1" x14ac:dyDescent="0.4">
      <c r="B33" s="13" t="s">
        <v>27</v>
      </c>
      <c r="C33" s="13" t="s">
        <v>287</v>
      </c>
      <c r="D33" s="14">
        <v>1494.375</v>
      </c>
      <c r="E33" s="14">
        <v>1583.7449999999999</v>
      </c>
      <c r="F33" s="14">
        <v>1697.5029999999999</v>
      </c>
      <c r="G33" s="14">
        <v>1889.6990000000001</v>
      </c>
      <c r="H33" s="14">
        <v>2065.11</v>
      </c>
      <c r="I33" s="14">
        <v>2216.0831447800001</v>
      </c>
      <c r="J33" s="14">
        <v>2529.4869446500002</v>
      </c>
      <c r="K33" s="14">
        <f t="shared" si="14"/>
        <v>2711.8059105700013</v>
      </c>
      <c r="L33" s="18">
        <v>2710.1190000000001</v>
      </c>
      <c r="M33" s="12"/>
      <c r="N33" s="19">
        <v>3083.2350000000001</v>
      </c>
      <c r="O33" s="19">
        <v>4709.1229999999996</v>
      </c>
      <c r="P33" s="14">
        <f>SUM(P34:P35)</f>
        <v>6665.3220000000001</v>
      </c>
      <c r="Q33" s="14">
        <f>SUM(Q34:Q35)</f>
        <v>9522.4860000000008</v>
      </c>
    </row>
    <row r="34" spans="2:17" ht="16" customHeight="1" thickBot="1" x14ac:dyDescent="0.4">
      <c r="B34" s="20" t="s">
        <v>28</v>
      </c>
      <c r="C34" s="20" t="s">
        <v>288</v>
      </c>
      <c r="D34" s="24">
        <v>81.734954000000002</v>
      </c>
      <c r="E34" s="24">
        <v>93.635188999999997</v>
      </c>
      <c r="F34" s="24">
        <v>114.323246</v>
      </c>
      <c r="G34" s="24">
        <v>133.79982999999999</v>
      </c>
      <c r="H34" s="24">
        <v>133.91409716000021</v>
      </c>
      <c r="I34" s="24">
        <v>155.04652077999981</v>
      </c>
      <c r="J34" s="24">
        <v>266.67240487000026</v>
      </c>
      <c r="K34" s="24">
        <v>425.52663686000005</v>
      </c>
      <c r="L34" s="22">
        <v>497.84900000000016</v>
      </c>
      <c r="N34" s="23"/>
      <c r="O34" s="23"/>
      <c r="P34" s="24">
        <v>423.49321899999995</v>
      </c>
      <c r="Q34" s="24">
        <f>SUM(H34:K34)</f>
        <v>981.15965967000034</v>
      </c>
    </row>
    <row r="35" spans="2:17" ht="16" customHeight="1" thickBot="1" x14ac:dyDescent="0.4">
      <c r="B35" s="20" t="s">
        <v>29</v>
      </c>
      <c r="C35" s="20" t="s">
        <v>289</v>
      </c>
      <c r="D35" s="24">
        <f t="shared" ref="D35:G35" si="16">D33-D34</f>
        <v>1412.640046</v>
      </c>
      <c r="E35" s="24">
        <f t="shared" si="16"/>
        <v>1490.1098109999998</v>
      </c>
      <c r="F35" s="24">
        <f t="shared" si="16"/>
        <v>1583.179754</v>
      </c>
      <c r="G35" s="24">
        <f t="shared" si="16"/>
        <v>1755.8991700000001</v>
      </c>
      <c r="H35" s="24">
        <v>1931.1959028399999</v>
      </c>
      <c r="I35" s="24">
        <v>2061.0366240000003</v>
      </c>
      <c r="J35" s="24">
        <v>2262.8145397799999</v>
      </c>
      <c r="K35" s="24">
        <v>2286.2792737100012</v>
      </c>
      <c r="L35" s="22">
        <v>2212.27</v>
      </c>
      <c r="N35" s="23"/>
      <c r="O35" s="23"/>
      <c r="P35" s="24">
        <v>6241.8287810000002</v>
      </c>
      <c r="Q35" s="24">
        <f>SUM(H35:K35)</f>
        <v>8541.3263403300007</v>
      </c>
    </row>
    <row r="36" spans="2:17" ht="16" customHeight="1" thickBot="1" x14ac:dyDescent="0.4">
      <c r="B36" s="25" t="s">
        <v>30</v>
      </c>
      <c r="C36" s="25" t="s">
        <v>290</v>
      </c>
      <c r="D36" s="24">
        <v>-602.51900000000001</v>
      </c>
      <c r="E36" s="24">
        <v>-633.06799999999998</v>
      </c>
      <c r="F36" s="24">
        <v>-684.71299999999997</v>
      </c>
      <c r="G36" s="24">
        <v>-850.553</v>
      </c>
      <c r="H36" s="24">
        <v>-950.08600000000001</v>
      </c>
      <c r="I36" s="24">
        <v>-1131.3204966800001</v>
      </c>
      <c r="J36" s="24">
        <v>-1414.49644483</v>
      </c>
      <c r="K36" s="24">
        <f t="shared" si="14"/>
        <v>-1580.2690584899992</v>
      </c>
      <c r="L36" s="22">
        <v>-1627.3109999999999</v>
      </c>
      <c r="N36" s="24">
        <v>-1066.7180000000001</v>
      </c>
      <c r="O36" s="24">
        <v>-1885.4349999999999</v>
      </c>
      <c r="P36" s="24">
        <v>-2770.8530000000001</v>
      </c>
      <c r="Q36" s="24">
        <f>SUM(H36:K36)</f>
        <v>-5076.1719999999996</v>
      </c>
    </row>
    <row r="37" spans="2:17" ht="16" customHeight="1" thickBot="1" x14ac:dyDescent="0.4">
      <c r="B37" s="25" t="s">
        <v>31</v>
      </c>
      <c r="C37" s="25" t="s">
        <v>291</v>
      </c>
      <c r="D37" s="24">
        <v>38.371000000000002</v>
      </c>
      <c r="E37" s="24">
        <v>10.664999999999999</v>
      </c>
      <c r="F37" s="24">
        <v>-4.2629999999999999</v>
      </c>
      <c r="G37" s="24">
        <v>47.338999999999999</v>
      </c>
      <c r="H37" s="24">
        <v>43.872999999999998</v>
      </c>
      <c r="I37" s="24">
        <v>87.925440120000005</v>
      </c>
      <c r="J37" s="24">
        <v>82.846862450000003</v>
      </c>
      <c r="K37" s="24">
        <f t="shared" si="14"/>
        <v>88.573697429999982</v>
      </c>
      <c r="L37" s="22">
        <v>185.74799999999999</v>
      </c>
      <c r="N37" s="24">
        <v>104.149</v>
      </c>
      <c r="O37" s="24">
        <v>81.248999999999995</v>
      </c>
      <c r="P37" s="24">
        <v>92.111999999999995</v>
      </c>
      <c r="Q37" s="24">
        <f>SUM(H37:K37)</f>
        <v>303.21899999999999</v>
      </c>
    </row>
    <row r="38" spans="2:17" ht="16" customHeight="1" thickBot="1" x14ac:dyDescent="0.4">
      <c r="B38" s="13" t="s">
        <v>32</v>
      </c>
      <c r="C38" s="13" t="s">
        <v>292</v>
      </c>
      <c r="D38" s="14">
        <f t="shared" ref="D38:J38" si="17">SUM(D34:D37)</f>
        <v>930.22699999999998</v>
      </c>
      <c r="E38" s="14">
        <f t="shared" si="17"/>
        <v>961.34199999999987</v>
      </c>
      <c r="F38" s="14">
        <f t="shared" si="17"/>
        <v>1008.5269999999999</v>
      </c>
      <c r="G38" s="14">
        <f t="shared" si="17"/>
        <v>1086.4850000000001</v>
      </c>
      <c r="H38" s="14">
        <f t="shared" si="17"/>
        <v>1158.8970000000002</v>
      </c>
      <c r="I38" s="14">
        <f t="shared" si="17"/>
        <v>1172.6880882200001</v>
      </c>
      <c r="J38" s="14">
        <f t="shared" si="17"/>
        <v>1197.8373622700001</v>
      </c>
      <c r="K38" s="14">
        <f t="shared" si="14"/>
        <v>1220.1105495100021</v>
      </c>
      <c r="L38" s="14">
        <f>SUM(L33,L36:L37)</f>
        <v>1268.5560000000003</v>
      </c>
      <c r="M38" s="12"/>
      <c r="N38" s="14">
        <f>SUM(N33,N36:N37)</f>
        <v>2120.6660000000002</v>
      </c>
      <c r="O38" s="14">
        <f>SUM(O33,O36:O37)</f>
        <v>2904.9369999999994</v>
      </c>
      <c r="P38" s="14">
        <f>SUM(P33,P36:P37)</f>
        <v>3986.5810000000001</v>
      </c>
      <c r="Q38" s="14">
        <f>SUM(Q33,Q36:Q37)</f>
        <v>4749.5330000000013</v>
      </c>
    </row>
    <row r="39" spans="2:17" ht="16" customHeight="1" thickBot="1" x14ac:dyDescent="0.4">
      <c r="B39" s="25" t="s">
        <v>33</v>
      </c>
      <c r="C39" s="25" t="s">
        <v>293</v>
      </c>
      <c r="D39" s="24">
        <v>104.239</v>
      </c>
      <c r="E39" s="24">
        <v>87.924000000000007</v>
      </c>
      <c r="F39" s="24">
        <v>134.55000000000001</v>
      </c>
      <c r="G39" s="24">
        <v>200.214</v>
      </c>
      <c r="H39" s="24">
        <v>315.89499999999998</v>
      </c>
      <c r="I39" s="24">
        <v>206.52</v>
      </c>
      <c r="J39" s="24">
        <v>188.04499999999999</v>
      </c>
      <c r="K39" s="24">
        <f t="shared" si="14"/>
        <v>158.07500000000005</v>
      </c>
      <c r="L39" s="26">
        <v>100.715</v>
      </c>
      <c r="N39" s="24">
        <v>134.66499999999999</v>
      </c>
      <c r="O39" s="24">
        <v>197.27199999999999</v>
      </c>
      <c r="P39" s="24">
        <v>526.92700000000002</v>
      </c>
      <c r="Q39" s="24">
        <f>SUM(H39:K39)</f>
        <v>868.53499999999997</v>
      </c>
    </row>
    <row r="40" spans="2:17" ht="16" customHeight="1" thickBot="1" x14ac:dyDescent="0.4">
      <c r="B40" s="13" t="s">
        <v>34</v>
      </c>
      <c r="C40" s="13" t="s">
        <v>294</v>
      </c>
      <c r="D40" s="14">
        <f t="shared" ref="D40:J40" si="18">SUM(D38:D39)</f>
        <v>1034.4659999999999</v>
      </c>
      <c r="E40" s="14">
        <f t="shared" si="18"/>
        <v>1049.2659999999998</v>
      </c>
      <c r="F40" s="14">
        <f t="shared" si="18"/>
        <v>1143.077</v>
      </c>
      <c r="G40" s="14">
        <f t="shared" si="18"/>
        <v>1286.6990000000001</v>
      </c>
      <c r="H40" s="14">
        <f t="shared" si="18"/>
        <v>1474.7920000000001</v>
      </c>
      <c r="I40" s="14">
        <f t="shared" si="18"/>
        <v>1379.20808822</v>
      </c>
      <c r="J40" s="14">
        <f t="shared" si="18"/>
        <v>1385.8823622700002</v>
      </c>
      <c r="K40" s="14">
        <f t="shared" si="14"/>
        <v>1378.1855495100021</v>
      </c>
      <c r="L40" s="14">
        <f t="shared" ref="L40" si="19">SUM(L38:L39)</f>
        <v>1369.2710000000002</v>
      </c>
      <c r="M40" s="12"/>
      <c r="N40" s="14">
        <f>SUM(N38:N39)</f>
        <v>2255.3310000000001</v>
      </c>
      <c r="O40" s="14">
        <f>SUM(O38:O39)</f>
        <v>3102.2089999999994</v>
      </c>
      <c r="P40" s="14">
        <f>SUM(P38:P39)</f>
        <v>4513.5079999999998</v>
      </c>
      <c r="Q40" s="14">
        <f>SUM(Q38:Q39)</f>
        <v>5618.0680000000011</v>
      </c>
    </row>
    <row r="41" spans="2:17" ht="16" customHeight="1" thickBot="1" x14ac:dyDescent="0.4">
      <c r="B41" s="27" t="s">
        <v>35</v>
      </c>
      <c r="C41" s="27" t="s">
        <v>295</v>
      </c>
      <c r="D41" s="24">
        <v>-232.161</v>
      </c>
      <c r="E41" s="24">
        <v>-210.52199999999999</v>
      </c>
      <c r="F41" s="24">
        <v>-341.14800000000002</v>
      </c>
      <c r="G41" s="24">
        <v>-349.88</v>
      </c>
      <c r="H41" s="24">
        <v>-361.45400000000001</v>
      </c>
      <c r="I41" s="24">
        <v>-351.47800000000001</v>
      </c>
      <c r="J41" s="24">
        <v>-443.05</v>
      </c>
      <c r="K41" s="21">
        <f t="shared" si="14"/>
        <v>-544.51</v>
      </c>
      <c r="L41" s="22">
        <v>-498.98099999999999</v>
      </c>
      <c r="N41" s="24">
        <v>-584.02700000000004</v>
      </c>
      <c r="O41" s="24">
        <v>-788.05399999999997</v>
      </c>
      <c r="P41" s="24">
        <v>-1133.711</v>
      </c>
      <c r="Q41" s="24">
        <f>SUM(H41:K41)</f>
        <v>-1700.492</v>
      </c>
    </row>
    <row r="42" spans="2:17" ht="16" customHeight="1" thickBot="1" x14ac:dyDescent="0.4">
      <c r="B42" s="25" t="s">
        <v>36</v>
      </c>
      <c r="C42" s="25" t="s">
        <v>296</v>
      </c>
      <c r="D42" s="24">
        <v>-121.539</v>
      </c>
      <c r="E42" s="24">
        <v>-116.048</v>
      </c>
      <c r="F42" s="24">
        <v>-98.331999999999994</v>
      </c>
      <c r="G42" s="24">
        <v>-112.93899999999999</v>
      </c>
      <c r="H42" s="24">
        <v>-87.57</v>
      </c>
      <c r="I42" s="24">
        <v>-143.91800000000001</v>
      </c>
      <c r="J42" s="24">
        <v>-141.37700000000001</v>
      </c>
      <c r="K42" s="21">
        <f t="shared" si="14"/>
        <v>-151.80899999999997</v>
      </c>
      <c r="L42" s="26">
        <v>-90.57</v>
      </c>
      <c r="N42" s="24">
        <v>-412.49099999999999</v>
      </c>
      <c r="O42" s="24">
        <v>-438.74900000000002</v>
      </c>
      <c r="P42" s="24">
        <v>-448.86500000000001</v>
      </c>
      <c r="Q42" s="24">
        <f>SUM(H42:K42)</f>
        <v>-524.67399999999998</v>
      </c>
    </row>
    <row r="43" spans="2:17" ht="16" customHeight="1" thickBot="1" x14ac:dyDescent="0.4">
      <c r="B43" s="25" t="s">
        <v>37</v>
      </c>
      <c r="C43" s="25" t="s">
        <v>297</v>
      </c>
      <c r="D43" s="24">
        <v>-243.38800000000001</v>
      </c>
      <c r="E43" s="24">
        <v>-280.16399999999999</v>
      </c>
      <c r="F43" s="24">
        <v>-307.666</v>
      </c>
      <c r="G43" s="24">
        <v>-394.625</v>
      </c>
      <c r="H43" s="24">
        <v>-317.82900000000001</v>
      </c>
      <c r="I43" s="24">
        <v>-330.96408821999995</v>
      </c>
      <c r="J43" s="24">
        <v>-390.49536226999999</v>
      </c>
      <c r="K43" s="21">
        <f>-271.47554951-96.59664895</f>
        <v>-368.07219845999998</v>
      </c>
      <c r="L43" s="26">
        <v>-381.83</v>
      </c>
      <c r="N43" s="24">
        <v>-675.64400000000001</v>
      </c>
      <c r="O43" s="24">
        <v>-875.69200000000001</v>
      </c>
      <c r="P43" s="24">
        <v>-1225.837</v>
      </c>
      <c r="Q43" s="24">
        <f>SUM(H43:K43)</f>
        <v>-1407.3606489499998</v>
      </c>
    </row>
    <row r="44" spans="2:17" ht="16" customHeight="1" thickBot="1" x14ac:dyDescent="0.4">
      <c r="B44" s="25" t="s">
        <v>38</v>
      </c>
      <c r="C44" s="25" t="s">
        <v>298</v>
      </c>
      <c r="D44" s="24">
        <v>-94.34</v>
      </c>
      <c r="E44" s="24">
        <v>-93.391999999999996</v>
      </c>
      <c r="F44" s="24">
        <v>-112.127</v>
      </c>
      <c r="G44" s="24">
        <v>-130.11000000000001</v>
      </c>
      <c r="H44" s="24">
        <v>-147.86000000000001</v>
      </c>
      <c r="I44" s="24">
        <v>-118.354</v>
      </c>
      <c r="J44" s="24">
        <v>-121.73099999999999</v>
      </c>
      <c r="K44" s="24">
        <f t="shared" si="14"/>
        <v>-115.85899999999998</v>
      </c>
      <c r="L44" s="26">
        <v>-111.04600000000001</v>
      </c>
      <c r="N44" s="24">
        <v>-219.417</v>
      </c>
      <c r="O44" s="24">
        <v>-276.04700000000003</v>
      </c>
      <c r="P44" s="24">
        <v>-429.96899999999999</v>
      </c>
      <c r="Q44" s="24">
        <f>SUM(H44:K44)</f>
        <v>-503.80399999999997</v>
      </c>
    </row>
    <row r="45" spans="2:17" ht="16" customHeight="1" thickBot="1" x14ac:dyDescent="0.4">
      <c r="B45" s="25" t="s">
        <v>39</v>
      </c>
      <c r="C45" s="25" t="s">
        <v>299</v>
      </c>
      <c r="D45" s="24">
        <v>-36.923999999999999</v>
      </c>
      <c r="E45" s="24">
        <v>-41.018000000000001</v>
      </c>
      <c r="F45" s="24">
        <v>-42.398000000000003</v>
      </c>
      <c r="G45" s="24">
        <v>-44.503999999999998</v>
      </c>
      <c r="H45" s="24">
        <v>-46.929000000000002</v>
      </c>
      <c r="I45" s="24">
        <v>-48.442</v>
      </c>
      <c r="J45" s="24">
        <v>-51.280999999999999</v>
      </c>
      <c r="K45" s="24">
        <f t="shared" si="14"/>
        <v>-55.157999999999987</v>
      </c>
      <c r="L45" s="26">
        <v>-53.686999999999998</v>
      </c>
      <c r="N45" s="24">
        <v>-119.842</v>
      </c>
      <c r="O45" s="24">
        <v>-134.858</v>
      </c>
      <c r="P45" s="24">
        <v>-164.84200000000001</v>
      </c>
      <c r="Q45" s="24">
        <f>SUM(H45:K45)</f>
        <v>-201.81</v>
      </c>
    </row>
    <row r="46" spans="2:17" ht="16" customHeight="1" thickBot="1" x14ac:dyDescent="0.4">
      <c r="B46" s="13" t="s">
        <v>40</v>
      </c>
      <c r="C46" s="13" t="s">
        <v>300</v>
      </c>
      <c r="D46" s="14">
        <f t="shared" ref="D46" si="20">SUM(D41:D45)</f>
        <v>-728.35199999999998</v>
      </c>
      <c r="E46" s="14">
        <f t="shared" ref="E46:K46" si="21">SUM(E41:E45)</f>
        <v>-741.14400000000001</v>
      </c>
      <c r="F46" s="14">
        <f t="shared" si="21"/>
        <v>-901.67099999999994</v>
      </c>
      <c r="G46" s="14">
        <f t="shared" si="21"/>
        <v>-1032.058</v>
      </c>
      <c r="H46" s="14">
        <f t="shared" si="21"/>
        <v>-961.64200000000005</v>
      </c>
      <c r="I46" s="14">
        <f t="shared" si="21"/>
        <v>-993.15608822000002</v>
      </c>
      <c r="J46" s="14">
        <f t="shared" si="21"/>
        <v>-1147.9343622699998</v>
      </c>
      <c r="K46" s="14">
        <f t="shared" si="21"/>
        <v>-1235.4081984599998</v>
      </c>
      <c r="L46" s="14">
        <f>SUM(L41:L45)</f>
        <v>-1136.1139999999998</v>
      </c>
      <c r="N46" s="14">
        <f t="shared" ref="N46:Q46" si="22">SUM(N41:N45)</f>
        <v>-2011.421</v>
      </c>
      <c r="O46" s="14">
        <f t="shared" si="22"/>
        <v>-2513.4</v>
      </c>
      <c r="P46" s="14">
        <f t="shared" si="22"/>
        <v>-3403.2240000000002</v>
      </c>
      <c r="Q46" s="14">
        <f t="shared" si="22"/>
        <v>-4338.1406489500005</v>
      </c>
    </row>
    <row r="47" spans="2:17" ht="16" customHeight="1" thickBot="1" x14ac:dyDescent="0.4">
      <c r="B47" s="29" t="s">
        <v>41</v>
      </c>
      <c r="C47" s="29" t="s">
        <v>301</v>
      </c>
      <c r="D47" s="30">
        <f t="shared" ref="D47:K47" si="23">SUM(D40,D46)</f>
        <v>306.11399999999992</v>
      </c>
      <c r="E47" s="30">
        <f t="shared" si="23"/>
        <v>308.12199999999984</v>
      </c>
      <c r="F47" s="30">
        <f t="shared" si="23"/>
        <v>241.40600000000006</v>
      </c>
      <c r="G47" s="30">
        <f t="shared" si="23"/>
        <v>254.64100000000008</v>
      </c>
      <c r="H47" s="30">
        <f t="shared" si="23"/>
        <v>513.15000000000009</v>
      </c>
      <c r="I47" s="30">
        <f t="shared" si="23"/>
        <v>386.05200000000002</v>
      </c>
      <c r="J47" s="30">
        <f t="shared" si="23"/>
        <v>237.94800000000032</v>
      </c>
      <c r="K47" s="17">
        <f t="shared" si="23"/>
        <v>142.77735105000238</v>
      </c>
      <c r="L47" s="30">
        <f>SUM(L40,L46)</f>
        <v>233.15700000000038</v>
      </c>
      <c r="M47" s="28"/>
      <c r="N47" s="30">
        <f t="shared" ref="N47:Q47" si="24">SUM(N40,N46)</f>
        <v>243.91000000000008</v>
      </c>
      <c r="O47" s="30">
        <f t="shared" si="24"/>
        <v>588.80899999999929</v>
      </c>
      <c r="P47" s="30">
        <f t="shared" si="24"/>
        <v>1110.2839999999997</v>
      </c>
      <c r="Q47" s="30">
        <f t="shared" si="24"/>
        <v>1279.9273510500007</v>
      </c>
    </row>
    <row r="48" spans="2:17" ht="16" customHeight="1" thickBot="1" x14ac:dyDescent="0.4">
      <c r="B48" s="27" t="s">
        <v>42</v>
      </c>
      <c r="C48" s="27" t="s">
        <v>303</v>
      </c>
      <c r="D48" s="31">
        <v>0</v>
      </c>
      <c r="E48" s="31">
        <v>0</v>
      </c>
      <c r="F48" s="31">
        <v>0</v>
      </c>
      <c r="G48" s="31">
        <v>-11.723000000000001</v>
      </c>
      <c r="H48" s="31">
        <v>0</v>
      </c>
      <c r="I48" s="31">
        <v>0</v>
      </c>
      <c r="J48" s="31">
        <v>0</v>
      </c>
      <c r="K48" s="21">
        <f t="shared" ref="K48:K50" si="25">K20</f>
        <v>0</v>
      </c>
      <c r="L48" s="32">
        <v>0</v>
      </c>
      <c r="N48" s="24">
        <v>0</v>
      </c>
      <c r="O48" s="24">
        <v>0</v>
      </c>
      <c r="P48" s="24">
        <v>-11.723000000000001</v>
      </c>
      <c r="Q48" s="24">
        <f>SUM(H48:K48)</f>
        <v>0</v>
      </c>
    </row>
    <row r="49" spans="1:17" ht="16" customHeight="1" thickBot="1" x14ac:dyDescent="0.4">
      <c r="B49" s="27" t="s">
        <v>43</v>
      </c>
      <c r="C49" s="27" t="s">
        <v>302</v>
      </c>
      <c r="D49" s="31">
        <v>-4.0910000000000002</v>
      </c>
      <c r="E49" s="31">
        <v>-19.536000000000001</v>
      </c>
      <c r="F49" s="31">
        <v>-33.728000000000002</v>
      </c>
      <c r="G49" s="31">
        <v>-0.19400000000000001</v>
      </c>
      <c r="H49" s="31">
        <v>-1.48</v>
      </c>
      <c r="I49" s="31">
        <v>-18.148</v>
      </c>
      <c r="J49" s="31">
        <v>-18.744</v>
      </c>
      <c r="K49" s="21">
        <f t="shared" si="25"/>
        <v>-1.2730000000000032</v>
      </c>
      <c r="L49" s="32">
        <v>-17.085000000000001</v>
      </c>
      <c r="N49" s="24">
        <v>0.33400000000000002</v>
      </c>
      <c r="O49" s="24">
        <v>-7.1740000000000004</v>
      </c>
      <c r="P49" s="24">
        <v>-57.55</v>
      </c>
      <c r="Q49" s="24">
        <f>SUM(H49:K49)</f>
        <v>-39.645000000000003</v>
      </c>
    </row>
    <row r="50" spans="1:17" ht="16" customHeight="1" thickBot="1" x14ac:dyDescent="0.4">
      <c r="B50" s="27" t="s">
        <v>44</v>
      </c>
      <c r="C50" s="27" t="s">
        <v>307</v>
      </c>
      <c r="D50" s="31">
        <v>0</v>
      </c>
      <c r="E50" s="31">
        <v>0</v>
      </c>
      <c r="F50" s="31">
        <v>0</v>
      </c>
      <c r="G50" s="31">
        <v>0</v>
      </c>
      <c r="H50" s="31">
        <v>0</v>
      </c>
      <c r="I50" s="31">
        <v>0</v>
      </c>
      <c r="J50" s="31">
        <v>0</v>
      </c>
      <c r="K50" s="21">
        <f t="shared" si="25"/>
        <v>0</v>
      </c>
      <c r="L50" s="32">
        <v>0</v>
      </c>
      <c r="N50" s="24">
        <v>0</v>
      </c>
      <c r="O50" s="24">
        <v>0</v>
      </c>
      <c r="P50" s="24">
        <v>0</v>
      </c>
      <c r="Q50" s="24">
        <f>SUM(H50:K50)</f>
        <v>0</v>
      </c>
    </row>
    <row r="51" spans="1:17" ht="16" customHeight="1" thickBot="1" x14ac:dyDescent="0.4">
      <c r="B51" s="29" t="s">
        <v>45</v>
      </c>
      <c r="C51" s="29" t="s">
        <v>286</v>
      </c>
      <c r="D51" s="30">
        <f t="shared" ref="D51:K51" si="26">SUM(D40,D46,D48:D50)</f>
        <v>302.02299999999991</v>
      </c>
      <c r="E51" s="30">
        <f t="shared" si="26"/>
        <v>288.58599999999984</v>
      </c>
      <c r="F51" s="30">
        <f t="shared" si="26"/>
        <v>207.67800000000005</v>
      </c>
      <c r="G51" s="30">
        <f t="shared" si="26"/>
        <v>242.72400000000007</v>
      </c>
      <c r="H51" s="30">
        <f t="shared" si="26"/>
        <v>511.67000000000007</v>
      </c>
      <c r="I51" s="30">
        <f t="shared" si="26"/>
        <v>367.904</v>
      </c>
      <c r="J51" s="30">
        <f t="shared" si="26"/>
        <v>219.20400000000032</v>
      </c>
      <c r="K51" s="17">
        <f t="shared" si="26"/>
        <v>141.50435105000238</v>
      </c>
      <c r="L51" s="30">
        <f>SUM(L40,L46,L48:L50)</f>
        <v>216.07200000000037</v>
      </c>
      <c r="N51" s="30">
        <f t="shared" ref="N51:Q51" si="27">SUM(N40,N46,N48:N50)</f>
        <v>244.24400000000009</v>
      </c>
      <c r="O51" s="30">
        <f t="shared" si="27"/>
        <v>581.63499999999931</v>
      </c>
      <c r="P51" s="30">
        <f t="shared" si="27"/>
        <v>1041.0109999999997</v>
      </c>
      <c r="Q51" s="30">
        <f t="shared" si="27"/>
        <v>1240.2823510500007</v>
      </c>
    </row>
    <row r="52" spans="1:17" ht="16" customHeight="1" thickBot="1" x14ac:dyDescent="0.4">
      <c r="B52" s="27" t="s">
        <v>46</v>
      </c>
      <c r="C52" s="27" t="s">
        <v>282</v>
      </c>
      <c r="D52" s="31">
        <v>-107.741</v>
      </c>
      <c r="E52" s="31">
        <v>-73.435000000000002</v>
      </c>
      <c r="F52" s="31">
        <v>-113.714</v>
      </c>
      <c r="G52" s="31">
        <v>-138.74799999999999</v>
      </c>
      <c r="H52" s="31">
        <v>-234.10900000000001</v>
      </c>
      <c r="I52" s="31">
        <v>-58.741999999999997</v>
      </c>
      <c r="J52" s="31">
        <v>-178.499</v>
      </c>
      <c r="K52" s="21">
        <f>-229.217</f>
        <v>-229.21700000000001</v>
      </c>
      <c r="L52" s="32">
        <v>-179.68299999999999</v>
      </c>
      <c r="N52" s="24">
        <v>-80.694999999999993</v>
      </c>
      <c r="O52" s="24">
        <v>-221.524</v>
      </c>
      <c r="P52" s="24">
        <v>-433.63799999999998</v>
      </c>
      <c r="Q52" s="24">
        <f>SUM(H52:K52)</f>
        <v>-700.56700000000001</v>
      </c>
    </row>
    <row r="53" spans="1:17" ht="16" customHeight="1" thickBot="1" x14ac:dyDescent="0.4">
      <c r="B53" s="27" t="s">
        <v>47</v>
      </c>
      <c r="C53" s="27" t="s">
        <v>283</v>
      </c>
      <c r="D53" s="31">
        <v>12.548</v>
      </c>
      <c r="E53" s="31">
        <v>13.316000000000001</v>
      </c>
      <c r="F53" s="31">
        <v>67.941999999999993</v>
      </c>
      <c r="G53" s="31">
        <v>92.756</v>
      </c>
      <c r="H53" s="31">
        <v>78.908000000000001</v>
      </c>
      <c r="I53" s="31">
        <v>-44.338000000000001</v>
      </c>
      <c r="J53" s="31">
        <v>169.755</v>
      </c>
      <c r="K53" s="21">
        <f>206.034+(96.59664895*0.45)</f>
        <v>249.50249202750001</v>
      </c>
      <c r="L53" s="32">
        <v>150.14599999999999</v>
      </c>
      <c r="N53" s="24">
        <v>7.7789999999999999</v>
      </c>
      <c r="O53" s="24">
        <v>65.947000000000003</v>
      </c>
      <c r="P53" s="24">
        <v>186.983</v>
      </c>
      <c r="Q53" s="24">
        <f>SUM(H53:K53)</f>
        <v>453.8274920275</v>
      </c>
    </row>
    <row r="54" spans="1:17" ht="16" customHeight="1" thickBot="1" x14ac:dyDescent="0.4">
      <c r="A54" s="166"/>
      <c r="B54" s="29" t="s">
        <v>48</v>
      </c>
      <c r="C54" s="29" t="s">
        <v>284</v>
      </c>
      <c r="D54" s="31">
        <v>0</v>
      </c>
      <c r="E54" s="31">
        <v>0</v>
      </c>
      <c r="F54" s="31">
        <v>0</v>
      </c>
      <c r="G54" s="30">
        <v>0</v>
      </c>
      <c r="H54" s="30">
        <v>0</v>
      </c>
      <c r="I54" s="30">
        <v>0</v>
      </c>
      <c r="J54" s="30">
        <v>0</v>
      </c>
      <c r="K54" s="17">
        <v>0</v>
      </c>
      <c r="L54" s="30">
        <v>0</v>
      </c>
      <c r="N54" s="14">
        <v>1.349</v>
      </c>
      <c r="O54" s="14">
        <v>0</v>
      </c>
      <c r="P54" s="14">
        <v>0</v>
      </c>
      <c r="Q54" s="24">
        <v>0</v>
      </c>
    </row>
    <row r="55" spans="1:17" ht="16" customHeight="1" thickBot="1" x14ac:dyDescent="0.4">
      <c r="B55" s="29" t="s">
        <v>281</v>
      </c>
      <c r="C55" s="29" t="s">
        <v>285</v>
      </c>
      <c r="D55" s="30">
        <f t="shared" ref="D55:K55" si="28">SUM(D51:D54)</f>
        <v>206.82999999999993</v>
      </c>
      <c r="E55" s="30">
        <f t="shared" si="28"/>
        <v>228.46699999999984</v>
      </c>
      <c r="F55" s="30">
        <f t="shared" si="28"/>
        <v>161.90600000000006</v>
      </c>
      <c r="G55" s="30">
        <f t="shared" si="28"/>
        <v>196.73200000000008</v>
      </c>
      <c r="H55" s="30">
        <f t="shared" si="28"/>
        <v>356.46900000000005</v>
      </c>
      <c r="I55" s="30">
        <f t="shared" si="28"/>
        <v>264.82399999999996</v>
      </c>
      <c r="J55" s="30">
        <f t="shared" si="28"/>
        <v>210.46000000000032</v>
      </c>
      <c r="K55" s="17">
        <f t="shared" si="28"/>
        <v>161.78984307750238</v>
      </c>
      <c r="L55" s="30">
        <f t="shared" ref="L55" si="29">SUM(L51:L54)</f>
        <v>186.53500000000037</v>
      </c>
      <c r="N55" s="14">
        <f>SUM(N51:N54)</f>
        <v>172.67700000000008</v>
      </c>
      <c r="O55" s="14">
        <f>SUM(O51:O54)</f>
        <v>426.05799999999931</v>
      </c>
      <c r="P55" s="14">
        <f>SUM(P51:P54)</f>
        <v>794.35599999999977</v>
      </c>
      <c r="Q55" s="14">
        <f>SUM(Q51:Q54)</f>
        <v>993.54284307750072</v>
      </c>
    </row>
    <row r="56" spans="1:17" ht="16" customHeight="1" thickBot="1" x14ac:dyDescent="0.4">
      <c r="B56" s="27"/>
      <c r="C56" s="27"/>
      <c r="D56" s="35"/>
      <c r="E56" s="35"/>
      <c r="F56" s="35"/>
      <c r="G56" s="35"/>
      <c r="H56" s="36"/>
      <c r="L56" s="32"/>
      <c r="N56" s="24"/>
      <c r="O56" s="24"/>
      <c r="P56" s="24"/>
      <c r="Q56" s="24"/>
    </row>
    <row r="57" spans="1:17" ht="16" customHeight="1" x14ac:dyDescent="0.35"/>
    <row r="58" spans="1:17" ht="16" customHeight="1" x14ac:dyDescent="0.35"/>
    <row r="59" spans="1:17" ht="121.5" x14ac:dyDescent="0.35">
      <c r="B59" s="117" t="s">
        <v>53</v>
      </c>
      <c r="C59" s="117" t="s">
        <v>318</v>
      </c>
    </row>
  </sheetData>
  <mergeCells count="2">
    <mergeCell ref="B1:B2"/>
    <mergeCell ref="C1:C2"/>
  </mergeCells>
  <conditionalFormatting sqref="A1:A54">
    <cfRule type="cellIs" dxfId="32" priority="1" operator="equal">
      <formula>"-"</formula>
    </cfRule>
  </conditionalFormatting>
  <conditionalFormatting sqref="B1:L2 B3:Q3 D4:L29 N4:Q29 B31:Q31 L32:L56 A56:A1048576">
    <cfRule type="cellIs" dxfId="31" priority="7" operator="equal">
      <formula>"-"</formula>
    </cfRule>
  </conditionalFormatting>
  <conditionalFormatting sqref="D32:K55">
    <cfRule type="cellIs" dxfId="30" priority="2" operator="equal">
      <formula>"-"</formula>
    </cfRule>
  </conditionalFormatting>
  <conditionalFormatting sqref="H56">
    <cfRule type="cellIs" dxfId="29" priority="4" operator="equal">
      <formula>"-"</formula>
    </cfRule>
  </conditionalFormatting>
  <conditionalFormatting sqref="N2">
    <cfRule type="cellIs" dxfId="28" priority="5" operator="equal">
      <formula>"-"</formula>
    </cfRule>
  </conditionalFormatting>
  <conditionalFormatting sqref="N32:Q56">
    <cfRule type="cellIs" dxfId="27" priority="3" operator="equal">
      <formula>"-"</formula>
    </cfRule>
  </conditionalFormatting>
  <conditionalFormatting sqref="P2">
    <cfRule type="cellIs" dxfId="26" priority="6" operator="equal">
      <formula>"-"</formula>
    </cfRule>
  </conditionalFormatting>
  <hyperlinks>
    <hyperlink ref="B1:B2" location="Menu!A1" display="MENU" xr:uid="{EDCBFB85-095D-4C39-86BD-E2CFDE4093B0}"/>
    <hyperlink ref="C1:C2" location="Menu!A1" display="MENU" xr:uid="{BE572106-0811-4125-BA2B-016BF102F00D}"/>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1B43-4CB9-43A8-81DE-314E718845F0}">
  <sheetPr>
    <tabColor rgb="FF00B050"/>
  </sheetPr>
  <dimension ref="A1:N55"/>
  <sheetViews>
    <sheetView showGridLines="0" zoomScale="85" zoomScaleNormal="85" workbookViewId="0">
      <pane xSplit="3" ySplit="3" topLeftCell="D4" activePane="bottomRight" state="frozen"/>
      <selection pane="topRight" activeCell="D1" sqref="D1"/>
      <selection pane="bottomLeft" activeCell="A4" sqref="A4"/>
      <selection pane="bottomRight" activeCell="C1" sqref="C1:C2"/>
    </sheetView>
  </sheetViews>
  <sheetFormatPr defaultColWidth="8.7265625" defaultRowHeight="16" outlineLevelCol="1" x14ac:dyDescent="0.35"/>
  <cols>
    <col min="1" max="1" width="1.6328125" style="46" customWidth="1"/>
    <col min="2" max="2" width="85.6328125" style="1" hidden="1" customWidth="1"/>
    <col min="3" max="3" width="85.6328125" style="1" customWidth="1" outlineLevel="1"/>
    <col min="4" max="8" width="16.54296875" style="1" customWidth="1"/>
    <col min="9" max="14" width="17.6328125" style="1" customWidth="1"/>
    <col min="15" max="16384" width="8.7265625" style="1"/>
  </cols>
  <sheetData>
    <row r="1" spans="1:14" ht="16" customHeight="1" x14ac:dyDescent="0.35">
      <c r="B1" s="179" t="s">
        <v>15</v>
      </c>
      <c r="C1" s="180" t="s">
        <v>15</v>
      </c>
      <c r="M1" s="3"/>
      <c r="N1" s="3"/>
    </row>
    <row r="2" spans="1:14" ht="16" customHeight="1" x14ac:dyDescent="0.35">
      <c r="B2" s="179"/>
      <c r="C2" s="180"/>
      <c r="D2" s="47"/>
    </row>
    <row r="3" spans="1:14" ht="16" customHeight="1" x14ac:dyDescent="0.35">
      <c r="B3" s="10" t="s">
        <v>169</v>
      </c>
      <c r="C3" s="10" t="s">
        <v>180</v>
      </c>
      <c r="D3" s="10">
        <v>2022</v>
      </c>
      <c r="E3" s="10">
        <v>2023</v>
      </c>
      <c r="F3" s="10" t="s">
        <v>359</v>
      </c>
      <c r="G3" s="10" t="s">
        <v>360</v>
      </c>
      <c r="H3" s="10" t="s">
        <v>361</v>
      </c>
      <c r="I3" s="10" t="s">
        <v>336</v>
      </c>
      <c r="J3" s="10" t="s">
        <v>337</v>
      </c>
      <c r="K3" s="10" t="s">
        <v>338</v>
      </c>
      <c r="L3" s="10" t="s">
        <v>339</v>
      </c>
      <c r="M3" s="10" t="s">
        <v>340</v>
      </c>
      <c r="N3" s="10" t="s">
        <v>341</v>
      </c>
    </row>
    <row r="4" spans="1:14" s="12" customFormat="1" ht="16" customHeight="1" thickBot="1" x14ac:dyDescent="0.4">
      <c r="A4" s="48"/>
      <c r="B4" s="49" t="s">
        <v>89</v>
      </c>
      <c r="C4" s="49" t="s">
        <v>170</v>
      </c>
      <c r="D4" s="170">
        <f t="shared" ref="D4:L4" si="0">SUM(D5:D7)</f>
        <v>7007.1522151295676</v>
      </c>
      <c r="E4" s="170">
        <f t="shared" si="0"/>
        <v>11369.688580985287</v>
      </c>
      <c r="F4" s="170">
        <f t="shared" si="0"/>
        <v>12586.597825554498</v>
      </c>
      <c r="G4" s="170">
        <f t="shared" si="0"/>
        <v>13800.721718615352</v>
      </c>
      <c r="H4" s="170">
        <f t="shared" si="0"/>
        <v>15933.482132816051</v>
      </c>
      <c r="I4" s="170">
        <f t="shared" si="0"/>
        <v>17489.977696844886</v>
      </c>
      <c r="J4" s="170">
        <f t="shared" si="0"/>
        <v>19886.833978810228</v>
      </c>
      <c r="K4" s="170">
        <f t="shared" si="0"/>
        <v>23199.089192347161</v>
      </c>
      <c r="L4" s="170">
        <f t="shared" si="0"/>
        <v>26042.050864127497</v>
      </c>
      <c r="M4" s="170">
        <f>SUM(M5:M7)</f>
        <v>26256.289363925443</v>
      </c>
      <c r="N4" s="170">
        <f t="shared" ref="N4" si="1">SUM(N5:N7)</f>
        <v>26937.276195710005</v>
      </c>
    </row>
    <row r="5" spans="1:14" ht="16" customHeight="1" thickBot="1" x14ac:dyDescent="0.4">
      <c r="B5" s="51" t="s">
        <v>90</v>
      </c>
      <c r="C5" s="51" t="s">
        <v>90</v>
      </c>
      <c r="D5" s="50">
        <v>7006.9530852459429</v>
      </c>
      <c r="E5" s="50">
        <v>11363.548685550573</v>
      </c>
      <c r="F5" s="50">
        <v>12578.699455191756</v>
      </c>
      <c r="G5" s="32">
        <v>13782.464664183914</v>
      </c>
      <c r="H5" s="32">
        <v>15905.966575271863</v>
      </c>
      <c r="I5" s="32">
        <v>17451.153910432549</v>
      </c>
      <c r="J5" s="32">
        <v>19731.069013954475</v>
      </c>
      <c r="K5" s="32">
        <v>22601.385937118506</v>
      </c>
      <c r="L5" s="32">
        <v>24883.595524557917</v>
      </c>
      <c r="M5" s="52">
        <v>25140.932591179815</v>
      </c>
      <c r="N5" s="52">
        <v>25687.516880020004</v>
      </c>
    </row>
    <row r="6" spans="1:14" ht="16" customHeight="1" thickBot="1" x14ac:dyDescent="0.4">
      <c r="B6" s="51" t="s">
        <v>91</v>
      </c>
      <c r="C6" s="51" t="s">
        <v>171</v>
      </c>
      <c r="D6" s="50">
        <v>0.19912988362439707</v>
      </c>
      <c r="E6" s="50">
        <v>6.1398954347136403</v>
      </c>
      <c r="F6" s="50">
        <v>7.8983703627419892</v>
      </c>
      <c r="G6" s="32">
        <v>18.257054431437972</v>
      </c>
      <c r="H6" s="32">
        <v>27.515557544188589</v>
      </c>
      <c r="I6" s="32">
        <v>38.823786412338222</v>
      </c>
      <c r="J6" s="32">
        <v>71.229299905301062</v>
      </c>
      <c r="K6" s="32">
        <v>101.89646835372368</v>
      </c>
      <c r="L6" s="32">
        <v>178.66616530639121</v>
      </c>
      <c r="M6" s="52">
        <v>251.31463987724649</v>
      </c>
      <c r="N6" s="52">
        <v>299.70559814000006</v>
      </c>
    </row>
    <row r="7" spans="1:14" ht="16" customHeight="1" thickBot="1" x14ac:dyDescent="0.4">
      <c r="B7" s="51" t="s">
        <v>92</v>
      </c>
      <c r="C7" s="51" t="s">
        <v>172</v>
      </c>
      <c r="D7" s="50">
        <v>0</v>
      </c>
      <c r="E7" s="50">
        <v>0</v>
      </c>
      <c r="F7" s="50">
        <v>0</v>
      </c>
      <c r="G7" s="32">
        <v>0</v>
      </c>
      <c r="H7" s="32">
        <v>0</v>
      </c>
      <c r="I7" s="32">
        <v>0</v>
      </c>
      <c r="J7" s="32">
        <v>84.535664950448535</v>
      </c>
      <c r="K7" s="32">
        <v>495.80678687493139</v>
      </c>
      <c r="L7" s="32">
        <v>979.78917426318878</v>
      </c>
      <c r="M7" s="52">
        <v>864.04213286838137</v>
      </c>
      <c r="N7" s="52">
        <v>950.05371755000021</v>
      </c>
    </row>
    <row r="8" spans="1:14" s="12" customFormat="1" ht="16" customHeight="1" thickBot="1" x14ac:dyDescent="0.4">
      <c r="A8" s="48"/>
      <c r="B8" s="49" t="s">
        <v>93</v>
      </c>
      <c r="C8" s="49" t="s">
        <v>179</v>
      </c>
      <c r="D8" s="52">
        <v>2330.1047225388011</v>
      </c>
      <c r="E8" s="52">
        <v>3095.1407505421212</v>
      </c>
      <c r="F8" s="32">
        <v>3345.4969673335781</v>
      </c>
      <c r="G8" s="32">
        <v>3214.7619888221461</v>
      </c>
      <c r="H8" s="32">
        <v>3664.0771625235539</v>
      </c>
      <c r="I8" s="52">
        <v>4079.704962272695</v>
      </c>
      <c r="J8" s="32">
        <v>4485.309486885516</v>
      </c>
      <c r="K8" s="32">
        <v>4410.5851248469653</v>
      </c>
      <c r="L8" s="52">
        <v>4687.3443252861143</v>
      </c>
      <c r="M8" s="52">
        <v>4802.4773303202437</v>
      </c>
      <c r="N8" s="52">
        <v>4729.6302024699989</v>
      </c>
    </row>
    <row r="9" spans="1:14" s="12" customFormat="1" ht="16" customHeight="1" thickBot="1" x14ac:dyDescent="0.4">
      <c r="A9" s="48"/>
      <c r="B9" s="49" t="s">
        <v>94</v>
      </c>
      <c r="C9" s="49" t="s">
        <v>94</v>
      </c>
      <c r="D9" s="32">
        <v>124.80588029026333</v>
      </c>
      <c r="E9" s="32">
        <v>398.87580998389313</v>
      </c>
      <c r="F9" s="32">
        <v>464.11735345694268</v>
      </c>
      <c r="G9" s="32">
        <v>509.15436858510412</v>
      </c>
      <c r="H9" s="32">
        <v>552.22288436609563</v>
      </c>
      <c r="I9" s="32">
        <v>585.23436970243256</v>
      </c>
      <c r="J9" s="32">
        <v>624.87557996425505</v>
      </c>
      <c r="K9" s="32">
        <v>661.23192129587324</v>
      </c>
      <c r="L9" s="32">
        <v>1320.7593360363908</v>
      </c>
      <c r="M9" s="52">
        <v>1313.5667949843132</v>
      </c>
      <c r="N9" s="52">
        <v>1290.5250233499999</v>
      </c>
    </row>
    <row r="10" spans="1:14" s="12" customFormat="1" ht="16" customHeight="1" thickBot="1" x14ac:dyDescent="0.4">
      <c r="A10" s="48"/>
      <c r="B10" s="49" t="s">
        <v>95</v>
      </c>
      <c r="C10" s="49" t="s">
        <v>173</v>
      </c>
      <c r="D10" s="52">
        <v>735.77398584000002</v>
      </c>
      <c r="E10" s="52">
        <v>1192.5779101299997</v>
      </c>
      <c r="F10" s="32">
        <v>1431.5142577099994</v>
      </c>
      <c r="G10" s="32">
        <v>1623.102865939999</v>
      </c>
      <c r="H10" s="32">
        <v>1817.9034839199992</v>
      </c>
      <c r="I10" s="52">
        <v>1971.6192707699993</v>
      </c>
      <c r="J10" s="32">
        <v>2157.0722497699999</v>
      </c>
      <c r="K10" s="32">
        <v>2262.9449724000006</v>
      </c>
      <c r="L10" s="52">
        <v>2350.4375676600007</v>
      </c>
      <c r="M10" s="52">
        <v>2424.6937407400001</v>
      </c>
      <c r="N10" s="52">
        <v>2486.5049900600002</v>
      </c>
    </row>
    <row r="11" spans="1:14" s="12" customFormat="1" ht="16" customHeight="1" thickBot="1" x14ac:dyDescent="0.4">
      <c r="A11" s="48"/>
      <c r="B11" s="49" t="s">
        <v>96</v>
      </c>
      <c r="C11" s="49" t="s">
        <v>174</v>
      </c>
      <c r="D11" s="52">
        <v>95.282770621748341</v>
      </c>
      <c r="E11" s="52">
        <v>94.634893089999991</v>
      </c>
      <c r="F11" s="32">
        <v>91.75843420999999</v>
      </c>
      <c r="G11" s="32">
        <v>88.107296970000007</v>
      </c>
      <c r="H11" s="32">
        <v>91.003291908627489</v>
      </c>
      <c r="I11" s="52">
        <v>97.015820570000102</v>
      </c>
      <c r="J11" s="32">
        <v>85.313374119999992</v>
      </c>
      <c r="K11" s="32">
        <v>65.484198660000004</v>
      </c>
      <c r="L11" s="52">
        <v>60.764682070000106</v>
      </c>
      <c r="M11" s="52">
        <v>57.399000439999995</v>
      </c>
      <c r="N11" s="52">
        <v>54.575663640000002</v>
      </c>
    </row>
    <row r="12" spans="1:14" s="12" customFormat="1" ht="16" customHeight="1" thickBot="1" x14ac:dyDescent="0.4">
      <c r="A12" s="48"/>
      <c r="B12" s="49" t="s">
        <v>59</v>
      </c>
      <c r="C12" s="49" t="s">
        <v>175</v>
      </c>
      <c r="D12" s="55">
        <v>2.5753995996225507</v>
      </c>
      <c r="E12" s="55">
        <v>2.4643855286998866</v>
      </c>
      <c r="F12" s="32">
        <v>0.4816686749805319</v>
      </c>
      <c r="G12" s="32">
        <v>0.34888261740278442</v>
      </c>
      <c r="H12" s="32">
        <v>0.24340376567589053</v>
      </c>
      <c r="I12" s="55">
        <v>7.6522629999998495E-2</v>
      </c>
      <c r="J12" s="32">
        <v>0.16641129000000002</v>
      </c>
      <c r="K12" s="32">
        <v>4.7292390000000004E-2</v>
      </c>
      <c r="L12" s="55">
        <v>1.8450000000000045E-5</v>
      </c>
      <c r="M12" s="55">
        <v>0.61476959000719944</v>
      </c>
      <c r="N12" s="52">
        <v>2.9157300000000001E-3</v>
      </c>
    </row>
    <row r="13" spans="1:14" ht="16" customHeight="1" thickBot="1" x14ac:dyDescent="0.4">
      <c r="B13" s="56" t="s">
        <v>97</v>
      </c>
      <c r="C13" s="56" t="s">
        <v>176</v>
      </c>
      <c r="D13" s="57">
        <f t="shared" ref="D13:N13" si="2">SUM(D4,D8:D12)</f>
        <v>10295.694974020002</v>
      </c>
      <c r="E13" s="57">
        <f t="shared" si="2"/>
        <v>16153.382330259999</v>
      </c>
      <c r="F13" s="57">
        <f t="shared" si="2"/>
        <v>17919.96650694</v>
      </c>
      <c r="G13" s="57">
        <f t="shared" si="2"/>
        <v>19236.197121550005</v>
      </c>
      <c r="H13" s="57">
        <f t="shared" si="2"/>
        <v>22058.932359300001</v>
      </c>
      <c r="I13" s="57">
        <f t="shared" si="2"/>
        <v>24223.628642790012</v>
      </c>
      <c r="J13" s="57">
        <f t="shared" si="2"/>
        <v>27239.57108084</v>
      </c>
      <c r="K13" s="57">
        <f t="shared" si="2"/>
        <v>30599.382701940001</v>
      </c>
      <c r="L13" s="57">
        <f t="shared" si="2"/>
        <v>34461.35679363001</v>
      </c>
      <c r="M13" s="57">
        <f t="shared" si="2"/>
        <v>34855.041000000005</v>
      </c>
      <c r="N13" s="57">
        <f t="shared" si="2"/>
        <v>35498.51499096</v>
      </c>
    </row>
    <row r="14" spans="1:14" ht="16" customHeight="1" thickBot="1" x14ac:dyDescent="0.4">
      <c r="A14" s="1"/>
      <c r="B14" s="58" t="s">
        <v>63</v>
      </c>
      <c r="C14" s="58" t="s">
        <v>177</v>
      </c>
      <c r="D14" s="59">
        <f>Balanço!D13</f>
        <v>-1002.564</v>
      </c>
      <c r="E14" s="59">
        <f>Balanço!E13</f>
        <v>-1289.2570000000001</v>
      </c>
      <c r="F14" s="59">
        <f>Balanço!F13</f>
        <v>-1315.336</v>
      </c>
      <c r="G14" s="59">
        <f>Balanço!G13</f>
        <v>-1332.1369999999999</v>
      </c>
      <c r="H14" s="59">
        <f>Balanço!H13</f>
        <v>-1496.566</v>
      </c>
      <c r="I14" s="59">
        <f>Balanço!I13</f>
        <v>-1623.3789999999999</v>
      </c>
      <c r="J14" s="59">
        <f>Balanço!J13</f>
        <v>-1816.307</v>
      </c>
      <c r="K14" s="59">
        <f>Balanço!K13</f>
        <v>-2001.6969999999999</v>
      </c>
      <c r="L14" s="59">
        <f>Balanço!L13</f>
        <v>-2114.451</v>
      </c>
      <c r="M14" s="59">
        <f>Balanço!M13</f>
        <v>-2413.6410000000001</v>
      </c>
      <c r="N14" s="59">
        <f>Balanço!N13</f>
        <v>-2116.0839999999998</v>
      </c>
    </row>
    <row r="15" spans="1:14" ht="16" customHeight="1" thickBot="1" x14ac:dyDescent="0.4">
      <c r="B15" s="60" t="s">
        <v>98</v>
      </c>
      <c r="C15" s="60" t="s">
        <v>178</v>
      </c>
      <c r="D15" s="57">
        <f>SUM(D13:D14)</f>
        <v>9293.1309740200013</v>
      </c>
      <c r="E15" s="57">
        <f t="shared" ref="E15:N15" si="3">SUM(E13:E14)</f>
        <v>14864.12533026</v>
      </c>
      <c r="F15" s="57">
        <f t="shared" si="3"/>
        <v>16604.63050694</v>
      </c>
      <c r="G15" s="57">
        <f t="shared" si="3"/>
        <v>17904.060121550006</v>
      </c>
      <c r="H15" s="57">
        <f t="shared" si="3"/>
        <v>20562.366359300002</v>
      </c>
      <c r="I15" s="57">
        <f t="shared" si="3"/>
        <v>22600.249642790011</v>
      </c>
      <c r="J15" s="57">
        <f t="shared" si="3"/>
        <v>25423.264080839999</v>
      </c>
      <c r="K15" s="57">
        <f t="shared" si="3"/>
        <v>28597.685701940001</v>
      </c>
      <c r="L15" s="57">
        <f t="shared" si="3"/>
        <v>32346.905793630009</v>
      </c>
      <c r="M15" s="57">
        <f t="shared" si="3"/>
        <v>32441.400000000005</v>
      </c>
      <c r="N15" s="57">
        <f t="shared" si="3"/>
        <v>33382.430990959998</v>
      </c>
    </row>
    <row r="16" spans="1:14" ht="16" customHeight="1" x14ac:dyDescent="0.35">
      <c r="I16" s="3"/>
      <c r="M16" s="61"/>
      <c r="N16" s="61"/>
    </row>
    <row r="17" spans="2:14" ht="16" customHeight="1" x14ac:dyDescent="0.35">
      <c r="B17" s="10" t="s">
        <v>160</v>
      </c>
      <c r="C17" s="136" t="s">
        <v>181</v>
      </c>
      <c r="D17" s="10">
        <v>2022</v>
      </c>
      <c r="E17" s="10">
        <v>2023</v>
      </c>
      <c r="F17" s="10" t="s">
        <v>17</v>
      </c>
      <c r="G17" s="10" t="s">
        <v>18</v>
      </c>
      <c r="H17" s="10" t="s">
        <v>19</v>
      </c>
      <c r="I17" s="10" t="s">
        <v>20</v>
      </c>
      <c r="J17" s="10" t="s">
        <v>21</v>
      </c>
      <c r="K17" s="10" t="s">
        <v>22</v>
      </c>
      <c r="L17" s="10" t="s">
        <v>23</v>
      </c>
      <c r="M17" s="10" t="s">
        <v>24</v>
      </c>
      <c r="N17" s="10" t="s">
        <v>25</v>
      </c>
    </row>
    <row r="18" spans="2:14" ht="16" customHeight="1" x14ac:dyDescent="0.35">
      <c r="B18" s="72" t="s">
        <v>99</v>
      </c>
      <c r="C18" s="1" t="s">
        <v>182</v>
      </c>
      <c r="D18" s="3">
        <f t="shared" ref="D18:M18" si="4">SUM(D4,D9:D10)/D13</f>
        <v>0.76417688180478782</v>
      </c>
      <c r="E18" s="3">
        <f t="shared" si="4"/>
        <v>0.80237946679558103</v>
      </c>
      <c r="F18" s="3">
        <f t="shared" si="4"/>
        <v>0.80816163529729801</v>
      </c>
      <c r="G18" s="3">
        <f t="shared" si="4"/>
        <v>0.82828112295080369</v>
      </c>
      <c r="H18" s="3">
        <f t="shared" si="4"/>
        <v>0.82975949166394636</v>
      </c>
      <c r="I18" s="3">
        <f t="shared" si="4"/>
        <v>0.82757342563885916</v>
      </c>
      <c r="J18" s="3">
        <f t="shared" si="4"/>
        <v>0.83220039483255459</v>
      </c>
      <c r="K18" s="3">
        <f t="shared" si="4"/>
        <v>0.85371872826659401</v>
      </c>
      <c r="L18" s="3">
        <f t="shared" si="4"/>
        <v>0.86221932426398884</v>
      </c>
      <c r="M18" s="3">
        <f t="shared" si="4"/>
        <v>0.86055127290338729</v>
      </c>
      <c r="N18" s="3">
        <f>SUM(N4,N9:N10)/N13</f>
        <v>0.86522791775773333</v>
      </c>
    </row>
    <row r="19" spans="2:14" ht="16" customHeight="1" x14ac:dyDescent="0.35">
      <c r="B19" s="72" t="s">
        <v>100</v>
      </c>
      <c r="C19" s="1" t="s">
        <v>183</v>
      </c>
      <c r="D19" s="3">
        <f t="shared" ref="D19:M19" si="5">SUM(D8,D11:D12)/D13</f>
        <v>0.23582311819521229</v>
      </c>
      <c r="E19" s="3">
        <f t="shared" si="5"/>
        <v>0.19762053320441897</v>
      </c>
      <c r="F19" s="3">
        <f t="shared" si="5"/>
        <v>0.19183836470270188</v>
      </c>
      <c r="G19" s="3">
        <f t="shared" si="5"/>
        <v>0.17171887704919631</v>
      </c>
      <c r="H19" s="3">
        <f t="shared" si="5"/>
        <v>0.17024050833605373</v>
      </c>
      <c r="I19" s="3">
        <f t="shared" si="5"/>
        <v>0.17242657436114092</v>
      </c>
      <c r="J19" s="3">
        <f t="shared" si="5"/>
        <v>0.16779960516744538</v>
      </c>
      <c r="K19" s="3">
        <f t="shared" si="5"/>
        <v>0.14628127173340591</v>
      </c>
      <c r="L19" s="3">
        <f t="shared" si="5"/>
        <v>0.13778067573601097</v>
      </c>
      <c r="M19" s="3">
        <f t="shared" si="5"/>
        <v>0.13944872709661282</v>
      </c>
      <c r="N19" s="3">
        <f>SUM(N8,N11:N12)/N13</f>
        <v>0.13477208224226669</v>
      </c>
    </row>
    <row r="20" spans="2:14" ht="16" customHeight="1" x14ac:dyDescent="0.35">
      <c r="B20" s="12" t="s">
        <v>101</v>
      </c>
      <c r="C20" s="1" t="s">
        <v>101</v>
      </c>
      <c r="D20" s="54">
        <f t="shared" ref="D20:M20" si="6">SUM(D18:D19)</f>
        <v>1</v>
      </c>
      <c r="E20" s="54">
        <f t="shared" si="6"/>
        <v>1</v>
      </c>
      <c r="F20" s="54">
        <f t="shared" si="6"/>
        <v>0.99999999999999989</v>
      </c>
      <c r="G20" s="54">
        <f t="shared" si="6"/>
        <v>1</v>
      </c>
      <c r="H20" s="54">
        <f t="shared" si="6"/>
        <v>1</v>
      </c>
      <c r="I20" s="54">
        <f t="shared" si="6"/>
        <v>1</v>
      </c>
      <c r="J20" s="54">
        <f t="shared" si="6"/>
        <v>1</v>
      </c>
      <c r="K20" s="54">
        <f t="shared" si="6"/>
        <v>0.99999999999999989</v>
      </c>
      <c r="L20" s="54">
        <f t="shared" si="6"/>
        <v>0.99999999999999978</v>
      </c>
      <c r="M20" s="54">
        <f t="shared" si="6"/>
        <v>1</v>
      </c>
      <c r="N20" s="54">
        <f t="shared" ref="N20" si="7">SUM(N18:N19)</f>
        <v>1</v>
      </c>
    </row>
    <row r="21" spans="2:14" ht="16" customHeight="1" x14ac:dyDescent="0.35">
      <c r="D21" s="3"/>
      <c r="E21" s="3"/>
      <c r="F21" s="3"/>
      <c r="G21" s="3"/>
      <c r="H21" s="3"/>
      <c r="I21" s="3"/>
      <c r="J21" s="3"/>
      <c r="K21" s="3"/>
      <c r="L21" s="3"/>
      <c r="M21" s="3"/>
      <c r="N21" s="3"/>
    </row>
    <row r="22" spans="2:14" ht="16" customHeight="1" x14ac:dyDescent="0.35">
      <c r="B22" s="12" t="s">
        <v>99</v>
      </c>
      <c r="C22" s="137" t="s">
        <v>182</v>
      </c>
      <c r="D22" s="75">
        <f t="shared" ref="D22:M22" si="8">SUM(D4,D9,D10)</f>
        <v>7867.7320812598309</v>
      </c>
      <c r="E22" s="75">
        <f t="shared" si="8"/>
        <v>12961.142301099178</v>
      </c>
      <c r="F22" s="75">
        <f t="shared" si="8"/>
        <v>14482.22943672144</v>
      </c>
      <c r="G22" s="75">
        <f t="shared" si="8"/>
        <v>15932.978953140457</v>
      </c>
      <c r="H22" s="75">
        <f t="shared" si="8"/>
        <v>18303.608501102146</v>
      </c>
      <c r="I22" s="75">
        <f t="shared" si="8"/>
        <v>20046.831337317319</v>
      </c>
      <c r="J22" s="75">
        <f t="shared" si="8"/>
        <v>22668.781808544485</v>
      </c>
      <c r="K22" s="75">
        <f t="shared" si="8"/>
        <v>26123.266086043033</v>
      </c>
      <c r="L22" s="75">
        <f t="shared" si="8"/>
        <v>29713.247767823887</v>
      </c>
      <c r="M22" s="75">
        <f t="shared" si="8"/>
        <v>29994.549899649755</v>
      </c>
      <c r="N22" s="75">
        <f>SUM(N4,N9,N10)</f>
        <v>30714.306209120004</v>
      </c>
    </row>
    <row r="23" spans="2:14" ht="16" customHeight="1" x14ac:dyDescent="0.35">
      <c r="B23" s="12" t="s">
        <v>100</v>
      </c>
      <c r="C23" s="137" t="s">
        <v>183</v>
      </c>
      <c r="D23" s="75">
        <f t="shared" ref="D23:M23" si="9">SUM(D8,D11:D12)</f>
        <v>2427.9628927601721</v>
      </c>
      <c r="E23" s="75">
        <f t="shared" si="9"/>
        <v>3192.240029160821</v>
      </c>
      <c r="F23" s="75">
        <f t="shared" si="9"/>
        <v>3437.7370702185585</v>
      </c>
      <c r="G23" s="75">
        <f t="shared" si="9"/>
        <v>3303.218168409549</v>
      </c>
      <c r="H23" s="75">
        <f t="shared" si="9"/>
        <v>3755.3238581978571</v>
      </c>
      <c r="I23" s="75">
        <f t="shared" si="9"/>
        <v>4176.7973054726954</v>
      </c>
      <c r="J23" s="75">
        <f t="shared" si="9"/>
        <v>4570.7892722955157</v>
      </c>
      <c r="K23" s="75">
        <f t="shared" si="9"/>
        <v>4476.1166158969654</v>
      </c>
      <c r="L23" s="75">
        <f t="shared" si="9"/>
        <v>4748.1090258061149</v>
      </c>
      <c r="M23" s="75">
        <f t="shared" si="9"/>
        <v>4860.4911003502511</v>
      </c>
      <c r="N23" s="75">
        <f>SUM(N8,N11:N12)</f>
        <v>4784.2087818399987</v>
      </c>
    </row>
    <row r="24" spans="2:14" ht="16" customHeight="1" x14ac:dyDescent="0.35">
      <c r="B24" s="11"/>
    </row>
    <row r="25" spans="2:14" ht="16" customHeight="1" x14ac:dyDescent="0.35">
      <c r="B25" s="10" t="s">
        <v>161</v>
      </c>
      <c r="C25" s="136" t="s">
        <v>184</v>
      </c>
      <c r="D25" s="10">
        <v>2022</v>
      </c>
      <c r="E25" s="10">
        <v>2023</v>
      </c>
      <c r="F25" s="10" t="s">
        <v>17</v>
      </c>
      <c r="G25" s="10" t="s">
        <v>18</v>
      </c>
      <c r="H25" s="10" t="s">
        <v>19</v>
      </c>
      <c r="I25" s="10" t="s">
        <v>20</v>
      </c>
      <c r="J25" s="10" t="s">
        <v>21</v>
      </c>
      <c r="K25" s="10" t="s">
        <v>22</v>
      </c>
      <c r="L25" s="10" t="s">
        <v>23</v>
      </c>
      <c r="M25" s="10" t="s">
        <v>24</v>
      </c>
      <c r="N25" s="10" t="s">
        <v>25</v>
      </c>
    </row>
    <row r="26" spans="2:14" ht="16" customHeight="1" x14ac:dyDescent="0.35">
      <c r="B26" s="63" t="s">
        <v>167</v>
      </c>
      <c r="C26" s="138" t="s">
        <v>102</v>
      </c>
      <c r="D26" s="18">
        <v>523.96</v>
      </c>
      <c r="E26" s="18">
        <v>619.47</v>
      </c>
      <c r="F26" s="18">
        <v>634.41</v>
      </c>
      <c r="G26" s="18">
        <v>624.6</v>
      </c>
      <c r="H26" s="18">
        <v>641.12</v>
      </c>
      <c r="I26" s="18">
        <v>720.43</v>
      </c>
      <c r="J26" s="18">
        <v>789.99</v>
      </c>
      <c r="K26" s="18">
        <v>832.68675508999956</v>
      </c>
      <c r="L26" s="18">
        <v>892.48</v>
      </c>
      <c r="M26" s="18">
        <v>1274.43</v>
      </c>
      <c r="N26" s="18">
        <v>1283.0899999999999</v>
      </c>
    </row>
    <row r="27" spans="2:14" ht="16" customHeight="1" x14ac:dyDescent="0.35">
      <c r="B27" s="64" t="s">
        <v>168</v>
      </c>
      <c r="C27" s="139" t="s">
        <v>103</v>
      </c>
      <c r="D27" s="66">
        <f t="shared" ref="D27:M27" si="10">D26/D13</f>
        <v>5.0891173575183864E-2</v>
      </c>
      <c r="E27" s="66">
        <f t="shared" si="10"/>
        <v>3.8349243974715556E-2</v>
      </c>
      <c r="F27" s="66">
        <f t="shared" si="10"/>
        <v>3.5402409918249972E-2</v>
      </c>
      <c r="G27" s="66">
        <f t="shared" si="10"/>
        <v>3.2470035322120429E-2</v>
      </c>
      <c r="H27" s="66">
        <f t="shared" si="10"/>
        <v>2.9063963276069665E-2</v>
      </c>
      <c r="I27" s="66">
        <f t="shared" si="10"/>
        <v>2.974079608896377E-2</v>
      </c>
      <c r="J27" s="66">
        <f t="shared" si="10"/>
        <v>2.9001557978116252E-2</v>
      </c>
      <c r="K27" s="66">
        <f t="shared" si="10"/>
        <v>2.7212534422702821E-2</v>
      </c>
      <c r="L27" s="66">
        <f t="shared" si="10"/>
        <v>2.5897993667067978E-2</v>
      </c>
      <c r="M27" s="66">
        <f t="shared" si="10"/>
        <v>3.6563721155858056E-2</v>
      </c>
      <c r="N27" s="66">
        <f>N26/N13</f>
        <v>3.6144892267373711E-2</v>
      </c>
    </row>
    <row r="28" spans="2:14" ht="16" customHeight="1" x14ac:dyDescent="0.35">
      <c r="B28" s="64"/>
      <c r="C28" s="64"/>
      <c r="D28" s="65"/>
      <c r="E28" s="65"/>
      <c r="F28" s="65"/>
      <c r="G28" s="65"/>
      <c r="H28" s="65"/>
      <c r="I28" s="65"/>
      <c r="J28" s="65"/>
      <c r="K28" s="65"/>
      <c r="L28" s="65"/>
      <c r="M28" s="66"/>
      <c r="N28" s="66"/>
    </row>
    <row r="29" spans="2:14" ht="16" customHeight="1" x14ac:dyDescent="0.35">
      <c r="B29" s="10" t="s">
        <v>154</v>
      </c>
      <c r="C29" s="10" t="s">
        <v>185</v>
      </c>
      <c r="D29" s="10">
        <v>2022</v>
      </c>
      <c r="E29" s="10">
        <v>2023</v>
      </c>
      <c r="F29" s="10" t="s">
        <v>17</v>
      </c>
      <c r="G29" s="10" t="s">
        <v>18</v>
      </c>
      <c r="H29" s="10" t="s">
        <v>19</v>
      </c>
      <c r="I29" s="10" t="s">
        <v>20</v>
      </c>
      <c r="J29" s="10" t="s">
        <v>21</v>
      </c>
      <c r="K29" s="10" t="s">
        <v>22</v>
      </c>
      <c r="L29" s="10" t="s">
        <v>23</v>
      </c>
      <c r="M29" s="10" t="s">
        <v>24</v>
      </c>
      <c r="N29" s="10" t="s">
        <v>25</v>
      </c>
    </row>
    <row r="30" spans="2:14" ht="16" customHeight="1" x14ac:dyDescent="0.35">
      <c r="B30" s="43" t="s">
        <v>155</v>
      </c>
      <c r="C30" s="140" t="s">
        <v>104</v>
      </c>
      <c r="D30" s="76"/>
      <c r="E30" s="76"/>
      <c r="F30" s="76"/>
      <c r="G30" s="76"/>
      <c r="H30" s="76"/>
      <c r="I30" s="77">
        <v>24286.7</v>
      </c>
      <c r="J30" s="68">
        <f>SUM(J31:J33)</f>
        <v>26985.210999999999</v>
      </c>
      <c r="K30" s="68">
        <f>SUM(K31:K33)</f>
        <v>30122.304</v>
      </c>
      <c r="L30" s="68">
        <f>SUM(L31:L33)</f>
        <v>33762.332999999999</v>
      </c>
      <c r="M30" s="68">
        <f t="shared" ref="M30" si="11">SUM(M31:M33)</f>
        <v>34365.119575469995</v>
      </c>
      <c r="N30" s="68">
        <f>SUM(N31:N33)</f>
        <v>35056.828999999998</v>
      </c>
    </row>
    <row r="31" spans="2:14" ht="16" customHeight="1" x14ac:dyDescent="0.35">
      <c r="B31" s="44" t="s">
        <v>156</v>
      </c>
      <c r="C31" s="141" t="s">
        <v>105</v>
      </c>
      <c r="D31" s="76"/>
      <c r="E31" s="76"/>
      <c r="F31" s="76"/>
      <c r="G31" s="76"/>
      <c r="H31" s="76"/>
      <c r="I31" s="69">
        <v>22709.066928240001</v>
      </c>
      <c r="J31" s="69">
        <v>25394.12</v>
      </c>
      <c r="K31" s="69">
        <v>28284.734</v>
      </c>
      <c r="L31" s="69">
        <v>31714.367999999999</v>
      </c>
      <c r="M31" s="22">
        <v>31663.353456919998</v>
      </c>
      <c r="N31" s="22">
        <v>32636.548999999999</v>
      </c>
    </row>
    <row r="32" spans="2:14" ht="16" customHeight="1" x14ac:dyDescent="0.35">
      <c r="B32" s="44" t="s">
        <v>157</v>
      </c>
      <c r="C32" s="141" t="s">
        <v>106</v>
      </c>
      <c r="D32" s="76"/>
      <c r="E32" s="76"/>
      <c r="F32" s="76"/>
      <c r="G32" s="76"/>
      <c r="H32" s="76"/>
      <c r="I32" s="69">
        <v>713.00746216785205</v>
      </c>
      <c r="J32" s="69">
        <v>695.35299999999995</v>
      </c>
      <c r="K32" s="69">
        <v>891.32299999999998</v>
      </c>
      <c r="L32" s="69">
        <v>1033.308</v>
      </c>
      <c r="M32" s="22">
        <v>1287.56279731</v>
      </c>
      <c r="N32" s="22">
        <v>1014.032</v>
      </c>
    </row>
    <row r="33" spans="2:14" ht="16" customHeight="1" x14ac:dyDescent="0.35">
      <c r="B33" s="44" t="s">
        <v>158</v>
      </c>
      <c r="C33" s="141" t="s">
        <v>107</v>
      </c>
      <c r="D33" s="76"/>
      <c r="E33" s="76"/>
      <c r="F33" s="76"/>
      <c r="G33" s="76"/>
      <c r="H33" s="76"/>
      <c r="I33" s="69">
        <v>864.63060959213897</v>
      </c>
      <c r="J33" s="69">
        <v>895.73800000000006</v>
      </c>
      <c r="K33" s="69">
        <v>946.24699999999996</v>
      </c>
      <c r="L33" s="69">
        <v>1014.657</v>
      </c>
      <c r="M33" s="22">
        <v>1414.2033212399999</v>
      </c>
      <c r="N33" s="22">
        <v>1406.248</v>
      </c>
    </row>
    <row r="34" spans="2:14" ht="16" customHeight="1" x14ac:dyDescent="0.35">
      <c r="B34" s="70" t="s">
        <v>108</v>
      </c>
      <c r="C34" s="70" t="s">
        <v>108</v>
      </c>
      <c r="D34" s="22">
        <v>648.68453199999999</v>
      </c>
      <c r="E34" s="22">
        <v>863.33638899999994</v>
      </c>
      <c r="F34" s="22">
        <v>871.31185584999992</v>
      </c>
      <c r="G34" s="22">
        <v>887.35045027000047</v>
      </c>
      <c r="H34" s="22">
        <v>938.52416372000039</v>
      </c>
      <c r="I34" s="22">
        <v>1003.0076901699997</v>
      </c>
      <c r="J34" s="78"/>
      <c r="K34" s="78"/>
      <c r="L34" s="78"/>
      <c r="M34" s="78"/>
      <c r="N34" s="78"/>
    </row>
    <row r="35" spans="2:14" ht="16" customHeight="1" x14ac:dyDescent="0.35">
      <c r="B35" s="70"/>
      <c r="D35" s="22"/>
      <c r="E35" s="22"/>
      <c r="F35" s="22"/>
      <c r="G35" s="22"/>
      <c r="H35" s="22"/>
      <c r="I35" s="22"/>
      <c r="J35" s="69"/>
      <c r="K35" s="69"/>
      <c r="L35" s="69"/>
      <c r="M35" s="69"/>
      <c r="N35" s="69"/>
    </row>
    <row r="36" spans="2:14" ht="16" customHeight="1" x14ac:dyDescent="0.35">
      <c r="B36" s="43" t="s">
        <v>159</v>
      </c>
      <c r="C36" s="140" t="s">
        <v>186</v>
      </c>
      <c r="D36" s="45"/>
      <c r="E36" s="45"/>
      <c r="F36" s="45"/>
      <c r="G36" s="45"/>
      <c r="H36" s="45"/>
      <c r="I36" s="67">
        <f t="shared" ref="I36:N36" si="12">I30</f>
        <v>24286.7</v>
      </c>
      <c r="J36" s="67">
        <f t="shared" si="12"/>
        <v>26985.210999999999</v>
      </c>
      <c r="K36" s="67">
        <f t="shared" si="12"/>
        <v>30122.304</v>
      </c>
      <c r="L36" s="67">
        <f t="shared" si="12"/>
        <v>33762.332999999999</v>
      </c>
      <c r="M36" s="67">
        <f t="shared" si="12"/>
        <v>34365.119575469995</v>
      </c>
      <c r="N36" s="67">
        <f t="shared" si="12"/>
        <v>35056.828999999998</v>
      </c>
    </row>
    <row r="37" spans="2:14" ht="16" customHeight="1" x14ac:dyDescent="0.35">
      <c r="B37" s="44" t="s">
        <v>156</v>
      </c>
      <c r="C37" s="141" t="s">
        <v>105</v>
      </c>
      <c r="D37" s="45"/>
      <c r="E37" s="45"/>
      <c r="F37" s="45"/>
      <c r="G37" s="45"/>
      <c r="H37" s="45"/>
      <c r="I37" s="73">
        <f t="shared" ref="I37:N39" si="13">I31/I$36</f>
        <v>0.93504127478167065</v>
      </c>
      <c r="J37" s="74">
        <f t="shared" si="13"/>
        <v>0.94103840803764693</v>
      </c>
      <c r="K37" s="74">
        <f t="shared" si="13"/>
        <v>0.93899636628061389</v>
      </c>
      <c r="L37" s="74">
        <f t="shared" si="13"/>
        <v>0.9393417214385037</v>
      </c>
      <c r="M37" s="74">
        <f t="shared" si="13"/>
        <v>0.92138056983574323</v>
      </c>
      <c r="N37" s="74">
        <f t="shared" si="13"/>
        <v>0.93096124010531589</v>
      </c>
    </row>
    <row r="38" spans="2:14" ht="16" customHeight="1" x14ac:dyDescent="0.35">
      <c r="B38" s="44" t="s">
        <v>157</v>
      </c>
      <c r="C38" s="141" t="s">
        <v>106</v>
      </c>
      <c r="D38" s="45"/>
      <c r="E38" s="45"/>
      <c r="F38" s="45"/>
      <c r="G38" s="45"/>
      <c r="H38" s="45"/>
      <c r="I38" s="74">
        <f t="shared" si="13"/>
        <v>2.9357939208202514E-2</v>
      </c>
      <c r="J38" s="74">
        <f t="shared" si="13"/>
        <v>2.5767928959310342E-2</v>
      </c>
      <c r="K38" s="74">
        <f t="shared" si="13"/>
        <v>2.9590133609965558E-2</v>
      </c>
      <c r="L38" s="74">
        <f t="shared" si="13"/>
        <v>3.0605349458522314E-2</v>
      </c>
      <c r="M38" s="74">
        <f t="shared" si="13"/>
        <v>3.7467141485783423E-2</v>
      </c>
      <c r="N38" s="74">
        <f t="shared" si="13"/>
        <v>2.8925377135507611E-2</v>
      </c>
    </row>
    <row r="39" spans="2:14" ht="16" customHeight="1" x14ac:dyDescent="0.35">
      <c r="B39" s="44" t="s">
        <v>158</v>
      </c>
      <c r="C39" s="141" t="s">
        <v>107</v>
      </c>
      <c r="D39" s="45"/>
      <c r="E39" s="45"/>
      <c r="F39" s="45"/>
      <c r="G39" s="45"/>
      <c r="H39" s="45"/>
      <c r="I39" s="74">
        <f t="shared" si="13"/>
        <v>3.5600991884123363E-2</v>
      </c>
      <c r="J39" s="74">
        <f t="shared" si="13"/>
        <v>3.3193663003042669E-2</v>
      </c>
      <c r="K39" s="74">
        <f t="shared" si="13"/>
        <v>3.1413500109420581E-2</v>
      </c>
      <c r="L39" s="74">
        <f t="shared" si="13"/>
        <v>3.0052929102974017E-2</v>
      </c>
      <c r="M39" s="74">
        <f t="shared" si="13"/>
        <v>4.1152288678473439E-2</v>
      </c>
      <c r="N39" s="74">
        <f t="shared" si="13"/>
        <v>4.0113382759176537E-2</v>
      </c>
    </row>
    <row r="40" spans="2:14" ht="16" customHeight="1" x14ac:dyDescent="0.35">
      <c r="B40" s="44"/>
    </row>
    <row r="41" spans="2:14" ht="16" customHeight="1" x14ac:dyDescent="0.35">
      <c r="B41" s="12" t="s">
        <v>109</v>
      </c>
      <c r="C41" s="137" t="s">
        <v>187</v>
      </c>
      <c r="D41" s="3">
        <f t="shared" ref="D41:N41" si="14">D14/D26*-1</f>
        <v>1.913436140163371</v>
      </c>
      <c r="E41" s="3">
        <f t="shared" si="14"/>
        <v>2.0812258866450355</v>
      </c>
      <c r="F41" s="3">
        <f t="shared" si="14"/>
        <v>2.0733216689522549</v>
      </c>
      <c r="G41" s="3">
        <f t="shared" si="14"/>
        <v>2.1327841818764006</v>
      </c>
      <c r="H41" s="3">
        <f t="shared" si="14"/>
        <v>2.3342993511355128</v>
      </c>
      <c r="I41" s="3">
        <f t="shared" si="14"/>
        <v>2.2533473064697471</v>
      </c>
      <c r="J41" s="3">
        <f t="shared" si="14"/>
        <v>2.2991518879985824</v>
      </c>
      <c r="K41" s="3">
        <f t="shared" si="14"/>
        <v>2.4039015725471096</v>
      </c>
      <c r="L41" s="3">
        <f t="shared" si="14"/>
        <v>2.3691858641089998</v>
      </c>
      <c r="M41" s="3">
        <f t="shared" si="14"/>
        <v>1.8938984487182504</v>
      </c>
      <c r="N41" s="3">
        <f t="shared" si="14"/>
        <v>1.6492093306003475</v>
      </c>
    </row>
    <row r="42" spans="2:14" ht="16" customHeight="1" x14ac:dyDescent="0.35">
      <c r="B42" s="12" t="s">
        <v>110</v>
      </c>
      <c r="C42" s="137" t="s">
        <v>188</v>
      </c>
      <c r="D42" s="54">
        <f t="shared" ref="D42:M42" si="15">D14/D13*-1</f>
        <v>9.737701073408396E-2</v>
      </c>
      <c r="E42" s="54">
        <f t="shared" si="15"/>
        <v>7.9813439293444158E-2</v>
      </c>
      <c r="F42" s="54">
        <f t="shared" si="15"/>
        <v>7.3400583616637899E-2</v>
      </c>
      <c r="G42" s="54">
        <f t="shared" si="15"/>
        <v>6.9251577719986454E-2</v>
      </c>
      <c r="H42" s="54">
        <f t="shared" si="15"/>
        <v>6.7843990616755792E-2</v>
      </c>
      <c r="I42" s="54">
        <f t="shared" si="15"/>
        <v>6.7016342759332506E-2</v>
      </c>
      <c r="J42" s="54">
        <f t="shared" si="15"/>
        <v>6.6678986780286331E-2</v>
      </c>
      <c r="K42" s="54">
        <f t="shared" si="15"/>
        <v>6.5416254291727663E-2</v>
      </c>
      <c r="L42" s="54">
        <f t="shared" si="15"/>
        <v>6.1357160504801847E-2</v>
      </c>
      <c r="M42" s="54">
        <f t="shared" si="15"/>
        <v>6.9247974776446244E-2</v>
      </c>
      <c r="N42" s="54">
        <f>N14/N13*-1</f>
        <v>5.9610493580897081E-2</v>
      </c>
    </row>
    <row r="43" spans="2:14" ht="16" customHeight="1" x14ac:dyDescent="0.35">
      <c r="B43" s="12" t="s">
        <v>111</v>
      </c>
      <c r="C43" s="12" t="s">
        <v>189</v>
      </c>
      <c r="D43" s="45"/>
      <c r="E43" s="45"/>
      <c r="F43" s="45"/>
      <c r="G43" s="45"/>
      <c r="H43" s="45"/>
      <c r="I43" s="54">
        <f>SUM(DRE!D13:G13)/AVERAGE(Balanço!E12:I12)*-1</f>
        <v>5.6614626027244368E-2</v>
      </c>
      <c r="J43" s="54">
        <f>SUM(DRE!E13:H13)/AVERAGE(Balanço!F12:J12)*-1</f>
        <v>5.6783943677268182E-2</v>
      </c>
      <c r="K43" s="54">
        <f>SUM(DRE!F13:I13)/AVERAGE(Balanço!G12:K12)*-1</f>
        <v>5.6730299052432355E-2</v>
      </c>
      <c r="L43" s="54">
        <f>SUM(DRE!G13:J13)/AVERAGE(Balanço!H12:L12)*-1</f>
        <v>5.4245934137801495E-2</v>
      </c>
      <c r="M43" s="54">
        <f>SUM(DRE!H13:K13)/AVERAGE(Balanço!I12:M12)*-1</f>
        <v>5.6166787917696498E-2</v>
      </c>
      <c r="N43" s="54">
        <f>SUM(DRE!I13:L13)/AVERAGE(Balanço!J12:N12)*-1</f>
        <v>5.6500999251956639E-2</v>
      </c>
    </row>
    <row r="44" spans="2:14" ht="16" customHeight="1" x14ac:dyDescent="0.35"/>
    <row r="45" spans="2:14" ht="16" customHeight="1" x14ac:dyDescent="0.35">
      <c r="B45" s="10" t="s">
        <v>112</v>
      </c>
      <c r="C45" s="10"/>
      <c r="D45" s="10">
        <v>2022</v>
      </c>
      <c r="E45" s="10">
        <v>2023</v>
      </c>
      <c r="F45" s="10" t="s">
        <v>17</v>
      </c>
      <c r="G45" s="10" t="s">
        <v>18</v>
      </c>
      <c r="H45" s="10" t="s">
        <v>19</v>
      </c>
      <c r="I45" s="10" t="s">
        <v>20</v>
      </c>
      <c r="J45" s="10" t="s">
        <v>21</v>
      </c>
      <c r="K45" s="10" t="s">
        <v>22</v>
      </c>
      <c r="L45" s="10" t="s">
        <v>23</v>
      </c>
      <c r="M45" s="10" t="s">
        <v>24</v>
      </c>
      <c r="N45" s="10" t="s">
        <v>25</v>
      </c>
    </row>
    <row r="46" spans="2:14" ht="16" customHeight="1" x14ac:dyDescent="0.35">
      <c r="B46" s="64" t="s">
        <v>325</v>
      </c>
      <c r="C46" s="64" t="s">
        <v>90</v>
      </c>
      <c r="D46" s="71">
        <f t="shared" ref="D46:N46" si="16">SUM(D5)/D52</f>
        <v>3.1158215984516138E-2</v>
      </c>
      <c r="E46" s="71">
        <f t="shared" si="16"/>
        <v>4.7622145284116409E-2</v>
      </c>
      <c r="F46" s="71">
        <f t="shared" si="16"/>
        <v>4.9666353904193869E-2</v>
      </c>
      <c r="G46" s="71">
        <f t="shared" si="16"/>
        <v>5.2800511300215354E-2</v>
      </c>
      <c r="H46" s="71">
        <f t="shared" si="16"/>
        <v>5.9455111689842459E-2</v>
      </c>
      <c r="I46" s="71">
        <f t="shared" si="16"/>
        <v>6.4232095927448482E-2</v>
      </c>
      <c r="J46" s="71">
        <f t="shared" si="16"/>
        <v>6.92415392123613E-2</v>
      </c>
      <c r="K46" s="71">
        <f t="shared" si="16"/>
        <v>8.0198802546044085E-2</v>
      </c>
      <c r="L46" s="71">
        <f t="shared" si="16"/>
        <v>8.9882445563807742E-2</v>
      </c>
      <c r="M46" s="71">
        <f t="shared" si="16"/>
        <v>9.0190715763345378E-2</v>
      </c>
      <c r="N46" s="71">
        <f t="shared" si="16"/>
        <v>9.0477994286972244E-2</v>
      </c>
    </row>
    <row r="47" spans="2:14" ht="16" customHeight="1" x14ac:dyDescent="0.35">
      <c r="B47" s="72" t="s">
        <v>326</v>
      </c>
      <c r="C47" s="72" t="s">
        <v>171</v>
      </c>
      <c r="D47" s="3">
        <f t="shared" ref="D47:N47" si="17">D6/D53</f>
        <v>6.1967245259609413E-7</v>
      </c>
      <c r="E47" s="3">
        <f t="shared" si="17"/>
        <v>1.7745721545562022E-5</v>
      </c>
      <c r="F47" s="3">
        <f t="shared" si="17"/>
        <v>2.2493892254073912E-5</v>
      </c>
      <c r="G47" s="3">
        <f t="shared" si="17"/>
        <v>5.1108426780651725E-5</v>
      </c>
      <c r="H47" s="3">
        <f t="shared" si="17"/>
        <v>7.565849616611423E-5</v>
      </c>
      <c r="I47" s="3">
        <f t="shared" si="17"/>
        <v>1.0608838309511287E-4</v>
      </c>
      <c r="J47" s="3">
        <f t="shared" si="17"/>
        <v>1.911477562937448E-4</v>
      </c>
      <c r="K47" s="3">
        <f t="shared" si="17"/>
        <v>2.7065285205672397E-4</v>
      </c>
      <c r="L47" s="3">
        <f t="shared" si="17"/>
        <v>4.7027436192028093E-4</v>
      </c>
      <c r="M47" s="3">
        <f t="shared" si="17"/>
        <v>6.6149531841588991E-4</v>
      </c>
      <c r="N47" s="3">
        <f t="shared" si="17"/>
        <v>7.7950894231169389E-4</v>
      </c>
    </row>
    <row r="48" spans="2:14" ht="16" customHeight="1" x14ac:dyDescent="0.35">
      <c r="B48" s="72" t="s">
        <v>327</v>
      </c>
      <c r="C48" s="72" t="s">
        <v>190</v>
      </c>
      <c r="D48" s="3">
        <f t="shared" ref="D48:N48" si="18">D7/D54</f>
        <v>0</v>
      </c>
      <c r="E48" s="3">
        <f t="shared" si="18"/>
        <v>0</v>
      </c>
      <c r="F48" s="3">
        <f t="shared" si="18"/>
        <v>0</v>
      </c>
      <c r="G48" s="3">
        <f t="shared" si="18"/>
        <v>0</v>
      </c>
      <c r="H48" s="3">
        <f t="shared" si="18"/>
        <v>0</v>
      </c>
      <c r="I48" s="3">
        <f t="shared" si="18"/>
        <v>0</v>
      </c>
      <c r="J48" s="3">
        <f t="shared" si="18"/>
        <v>2.0174131911903331E-3</v>
      </c>
      <c r="K48" s="3">
        <f t="shared" si="18"/>
        <v>1.0635750624770608E-2</v>
      </c>
      <c r="L48" s="3">
        <f t="shared" si="18"/>
        <v>1.6405283876886827E-2</v>
      </c>
      <c r="M48" s="3">
        <f t="shared" si="18"/>
        <v>1.1267714263505358E-2</v>
      </c>
      <c r="N48" s="3">
        <f t="shared" si="18"/>
        <v>9.3517508199545251E-3</v>
      </c>
    </row>
    <row r="49" spans="1:14" ht="16" customHeight="1" x14ac:dyDescent="0.35">
      <c r="B49" s="72" t="s">
        <v>328</v>
      </c>
      <c r="C49" s="72" t="s">
        <v>179</v>
      </c>
      <c r="D49" s="3">
        <f t="shared" ref="D49:N49" si="19">D8/D55</f>
        <v>9.3201952054702726E-3</v>
      </c>
      <c r="E49" s="3">
        <f t="shared" si="19"/>
        <v>1.1664634401162721E-2</v>
      </c>
      <c r="F49" s="3">
        <f t="shared" si="19"/>
        <v>1.1651343858036938E-2</v>
      </c>
      <c r="G49" s="3">
        <f t="shared" si="19"/>
        <v>1.0837871604097275E-2</v>
      </c>
      <c r="H49" s="3">
        <f t="shared" si="19"/>
        <v>1.1677700849750146E-2</v>
      </c>
      <c r="I49" s="3">
        <f t="shared" si="19"/>
        <v>1.2486662980404606E-2</v>
      </c>
      <c r="J49" s="3">
        <f t="shared" si="19"/>
        <v>1.2949698833843922E-2</v>
      </c>
      <c r="K49" s="3">
        <f t="shared" si="19"/>
        <v>1.2273239885929569E-2</v>
      </c>
      <c r="L49" s="3">
        <f t="shared" si="19"/>
        <v>1.2549683202775117E-2</v>
      </c>
      <c r="M49" s="3">
        <f t="shared" si="19"/>
        <v>1.235926667658392E-2</v>
      </c>
      <c r="N49" s="3">
        <f t="shared" si="19"/>
        <v>1.1872574974947659E-2</v>
      </c>
    </row>
    <row r="50" spans="1:14" ht="16" customHeight="1" x14ac:dyDescent="0.35">
      <c r="B50" s="72"/>
      <c r="C50" s="72"/>
      <c r="D50" s="3"/>
      <c r="E50" s="3"/>
      <c r="F50" s="3"/>
      <c r="G50" s="3"/>
      <c r="H50" s="3"/>
      <c r="I50" s="3"/>
      <c r="J50" s="3"/>
      <c r="K50" s="3"/>
      <c r="L50" s="3"/>
      <c r="M50" s="3"/>
      <c r="N50" s="3"/>
    </row>
    <row r="51" spans="1:14" ht="16" customHeight="1" x14ac:dyDescent="0.35">
      <c r="B51" s="10" t="s">
        <v>162</v>
      </c>
      <c r="C51" s="10"/>
      <c r="D51" s="10">
        <v>2022</v>
      </c>
      <c r="E51" s="10">
        <v>2023</v>
      </c>
      <c r="F51" s="10" t="s">
        <v>17</v>
      </c>
      <c r="G51" s="10" t="s">
        <v>18</v>
      </c>
      <c r="H51" s="10" t="s">
        <v>19</v>
      </c>
      <c r="I51" s="10" t="s">
        <v>20</v>
      </c>
      <c r="J51" s="10" t="s">
        <v>21</v>
      </c>
      <c r="K51" s="10" t="s">
        <v>22</v>
      </c>
      <c r="L51" s="10" t="s">
        <v>23</v>
      </c>
      <c r="M51" s="10" t="s">
        <v>24</v>
      </c>
      <c r="N51" s="10" t="s">
        <v>25</v>
      </c>
    </row>
    <row r="52" spans="1:14" ht="16" customHeight="1" x14ac:dyDescent="0.35">
      <c r="B52" s="171" t="s">
        <v>325</v>
      </c>
      <c r="C52" s="142" t="s">
        <v>90</v>
      </c>
      <c r="D52" s="62">
        <v>224883</v>
      </c>
      <c r="E52" s="62">
        <v>238619</v>
      </c>
      <c r="F52" s="62">
        <v>253264</v>
      </c>
      <c r="G52" s="62">
        <v>261029</v>
      </c>
      <c r="H52" s="62">
        <v>267529</v>
      </c>
      <c r="I52" s="62">
        <v>271689</v>
      </c>
      <c r="J52" s="62">
        <v>284960</v>
      </c>
      <c r="K52" s="62">
        <v>281817</v>
      </c>
      <c r="L52" s="62">
        <v>276846</v>
      </c>
      <c r="M52" s="62">
        <v>278753</v>
      </c>
      <c r="N52" s="62">
        <v>283909</v>
      </c>
    </row>
    <row r="53" spans="1:14" ht="16" customHeight="1" x14ac:dyDescent="0.35">
      <c r="A53" s="1"/>
      <c r="B53" s="72" t="s">
        <v>326</v>
      </c>
      <c r="C53" s="72" t="s">
        <v>171</v>
      </c>
      <c r="D53" s="62">
        <v>321347</v>
      </c>
      <c r="E53" s="62">
        <v>345993</v>
      </c>
      <c r="F53" s="62">
        <v>351134</v>
      </c>
      <c r="G53" s="62">
        <v>357222</v>
      </c>
      <c r="H53" s="62">
        <v>363681</v>
      </c>
      <c r="I53" s="62">
        <v>365957</v>
      </c>
      <c r="J53" s="62">
        <v>372640</v>
      </c>
      <c r="K53" s="62">
        <v>376484</v>
      </c>
      <c r="L53" s="62">
        <v>379919</v>
      </c>
      <c r="M53" s="62">
        <v>379919</v>
      </c>
      <c r="N53" s="62">
        <v>384480</v>
      </c>
    </row>
    <row r="54" spans="1:14" ht="16" customHeight="1" x14ac:dyDescent="0.35">
      <c r="B54" s="72" t="s">
        <v>327</v>
      </c>
      <c r="C54" s="72" t="s">
        <v>190</v>
      </c>
      <c r="D54" s="62">
        <v>41596</v>
      </c>
      <c r="E54" s="62">
        <v>41355</v>
      </c>
      <c r="F54" s="62">
        <v>41315</v>
      </c>
      <c r="G54" s="62">
        <v>40297</v>
      </c>
      <c r="H54" s="62">
        <v>40564</v>
      </c>
      <c r="I54" s="62">
        <v>40169</v>
      </c>
      <c r="J54" s="62">
        <v>41903</v>
      </c>
      <c r="K54" s="62">
        <v>46617</v>
      </c>
      <c r="L54" s="62">
        <v>59724</v>
      </c>
      <c r="M54" s="62">
        <v>76683</v>
      </c>
      <c r="N54" s="62">
        <v>101591</v>
      </c>
    </row>
    <row r="55" spans="1:14" ht="16" customHeight="1" x14ac:dyDescent="0.35">
      <c r="B55" s="72" t="s">
        <v>328</v>
      </c>
      <c r="C55" s="72" t="s">
        <v>179</v>
      </c>
      <c r="D55" s="62">
        <v>250006</v>
      </c>
      <c r="E55" s="62">
        <v>265344</v>
      </c>
      <c r="F55" s="62">
        <v>287134</v>
      </c>
      <c r="G55" s="62">
        <v>296623</v>
      </c>
      <c r="H55" s="62">
        <v>313767</v>
      </c>
      <c r="I55" s="62">
        <v>326725</v>
      </c>
      <c r="J55" s="62">
        <v>346364</v>
      </c>
      <c r="K55" s="62">
        <v>359366</v>
      </c>
      <c r="L55" s="62">
        <v>373503</v>
      </c>
      <c r="M55" s="62">
        <v>388573</v>
      </c>
      <c r="N55" s="62">
        <v>398366</v>
      </c>
    </row>
  </sheetData>
  <mergeCells count="2">
    <mergeCell ref="B1:B2"/>
    <mergeCell ref="C1:C2"/>
  </mergeCells>
  <conditionalFormatting sqref="A1:A53 B3:N3 D4:N15 L30:N30 M31:N33 D35:N35 L36:N36 I37:N39 A55:A1048576">
    <cfRule type="cellIs" dxfId="25" priority="32" operator="equal">
      <formula>"-"</formula>
    </cfRule>
  </conditionalFormatting>
  <conditionalFormatting sqref="B24:B27">
    <cfRule type="cellIs" dxfId="24" priority="9" operator="equal">
      <formula>"-"</formula>
    </cfRule>
  </conditionalFormatting>
  <conditionalFormatting sqref="B35:B40">
    <cfRule type="cellIs" dxfId="23" priority="22" operator="equal">
      <formula>"-"</formula>
    </cfRule>
  </conditionalFormatting>
  <conditionalFormatting sqref="B28:C29">
    <cfRule type="cellIs" dxfId="22" priority="2" operator="equal">
      <formula>"-"</formula>
    </cfRule>
  </conditionalFormatting>
  <conditionalFormatting sqref="B1:D2">
    <cfRule type="cellIs" dxfId="21" priority="33" operator="equal">
      <formula>"-"</formula>
    </cfRule>
  </conditionalFormatting>
  <conditionalFormatting sqref="B17:N17">
    <cfRule type="cellIs" dxfId="20" priority="8" operator="equal">
      <formula>"-"</formula>
    </cfRule>
  </conditionalFormatting>
  <conditionalFormatting sqref="B34:N34">
    <cfRule type="cellIs" dxfId="19" priority="16" operator="equal">
      <formula>"-"</formula>
    </cfRule>
  </conditionalFormatting>
  <conditionalFormatting sqref="B45:N45">
    <cfRule type="cellIs" dxfId="18" priority="26" operator="equal">
      <formula>"-"</formula>
    </cfRule>
  </conditionalFormatting>
  <conditionalFormatting sqref="B51:N51">
    <cfRule type="cellIs" dxfId="17" priority="24" operator="equal">
      <formula>"-"</formula>
    </cfRule>
  </conditionalFormatting>
  <conditionalFormatting sqref="C25">
    <cfRule type="cellIs" dxfId="16" priority="3" operator="equal">
      <formula>"-"</formula>
    </cfRule>
  </conditionalFormatting>
  <conditionalFormatting sqref="C36:H39">
    <cfRule type="cellIs" dxfId="15" priority="1" operator="equal">
      <formula>"-"</formula>
    </cfRule>
  </conditionalFormatting>
  <conditionalFormatting sqref="D43:H43">
    <cfRule type="cellIs" dxfId="14" priority="4" operator="equal">
      <formula>"-"</formula>
    </cfRule>
  </conditionalFormatting>
  <conditionalFormatting sqref="D30:L33">
    <cfRule type="cellIs" dxfId="13" priority="12" operator="equal">
      <formula>"-"</formula>
    </cfRule>
  </conditionalFormatting>
  <conditionalFormatting sqref="D25:N29">
    <cfRule type="cellIs" dxfId="12" priority="6" operator="equal">
      <formula>"-"</formula>
    </cfRule>
  </conditionalFormatting>
  <conditionalFormatting sqref="I36">
    <cfRule type="cellIs" dxfId="11" priority="15" operator="equal">
      <formula>"-"</formula>
    </cfRule>
  </conditionalFormatting>
  <conditionalFormatting sqref="J26:L28 J35:L36">
    <cfRule type="cellIs" dxfId="10" priority="31" operator="equal">
      <formula>"-"</formula>
    </cfRule>
  </conditionalFormatting>
  <hyperlinks>
    <hyperlink ref="B1:B2" location="Menu!A1" display="MENU" xr:uid="{560D38CA-B179-4FD4-A3D4-7445ADCD02E3}"/>
    <hyperlink ref="C1:C2" location="Menu!A1" display="MENU" xr:uid="{E07D72CC-66C5-4C57-992C-32B1F46B9891}"/>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F342-33EF-4B95-82CE-1E7E0A6C1B6A}">
  <sheetPr>
    <tabColor rgb="FF00B050"/>
  </sheetPr>
  <dimension ref="A1:N54"/>
  <sheetViews>
    <sheetView showGridLines="0"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ColWidth="8.7265625" defaultRowHeight="16" outlineLevelCol="1" x14ac:dyDescent="0.35"/>
  <cols>
    <col min="1" max="1" width="1.6328125" style="164" customWidth="1"/>
    <col min="2" max="2" width="85.6328125" style="1" hidden="1" customWidth="1"/>
    <col min="3" max="3" width="85.6328125" style="1" customWidth="1" outlineLevel="1"/>
    <col min="4" max="4" width="16.54296875" style="1" customWidth="1"/>
    <col min="5" max="12" width="17.6328125" style="1" customWidth="1"/>
    <col min="13" max="13" width="8.81640625" style="1" bestFit="1" customWidth="1"/>
    <col min="14" max="14" width="12.453125" style="1" bestFit="1" customWidth="1"/>
    <col min="15" max="16384" width="8.7265625" style="1"/>
  </cols>
  <sheetData>
    <row r="1" spans="1:14" ht="16" customHeight="1" x14ac:dyDescent="0.35">
      <c r="B1" s="181" t="s">
        <v>15</v>
      </c>
      <c r="C1" s="180" t="s">
        <v>15</v>
      </c>
      <c r="N1" s="79"/>
    </row>
    <row r="2" spans="1:14" ht="16" customHeight="1" x14ac:dyDescent="0.35">
      <c r="B2" s="181"/>
      <c r="C2" s="180"/>
      <c r="N2" s="80"/>
    </row>
    <row r="3" spans="1:14" ht="16" customHeight="1" x14ac:dyDescent="0.35">
      <c r="B3" s="136" t="s">
        <v>323</v>
      </c>
      <c r="C3" s="136" t="s">
        <v>324</v>
      </c>
      <c r="D3" s="10" t="s">
        <v>359</v>
      </c>
      <c r="E3" s="10" t="s">
        <v>360</v>
      </c>
      <c r="F3" s="10" t="s">
        <v>361</v>
      </c>
      <c r="G3" s="10" t="s">
        <v>336</v>
      </c>
      <c r="H3" s="10" t="s">
        <v>337</v>
      </c>
      <c r="I3" s="10" t="s">
        <v>338</v>
      </c>
      <c r="J3" s="10" t="s">
        <v>339</v>
      </c>
      <c r="K3" s="10" t="s">
        <v>340</v>
      </c>
      <c r="L3" s="10" t="s">
        <v>341</v>
      </c>
      <c r="M3" s="81"/>
      <c r="N3" s="81"/>
    </row>
    <row r="4" spans="1:14" ht="16" customHeight="1" x14ac:dyDescent="0.35">
      <c r="B4" s="82" t="s">
        <v>75</v>
      </c>
      <c r="C4" s="82" t="s">
        <v>279</v>
      </c>
      <c r="D4" s="83">
        <v>252.26165129</v>
      </c>
      <c r="E4" s="83">
        <v>392.85449569000008</v>
      </c>
      <c r="F4" s="83">
        <v>341.44640045000006</v>
      </c>
      <c r="G4" s="83">
        <v>320.0985100499999</v>
      </c>
      <c r="H4" s="83">
        <v>367.32604310000011</v>
      </c>
      <c r="I4" s="83">
        <v>361.81565380000001</v>
      </c>
      <c r="J4" s="83">
        <v>360.06926430999994</v>
      </c>
      <c r="K4" s="83">
        <v>345.80135535000005</v>
      </c>
      <c r="L4" s="83">
        <v>456.53800000000001</v>
      </c>
    </row>
    <row r="5" spans="1:14" ht="16" customHeight="1" x14ac:dyDescent="0.35">
      <c r="A5" s="165"/>
      <c r="B5" s="82" t="s">
        <v>113</v>
      </c>
      <c r="C5" s="82" t="s">
        <v>278</v>
      </c>
      <c r="D5" s="83">
        <v>13062.890465749995</v>
      </c>
      <c r="E5" s="83">
        <v>13631.027708679996</v>
      </c>
      <c r="F5" s="83">
        <v>15124.945092069996</v>
      </c>
      <c r="G5" s="83">
        <v>14432.950041589993</v>
      </c>
      <c r="H5" s="83">
        <v>16899.289424840004</v>
      </c>
      <c r="I5" s="83">
        <v>18038.091414820003</v>
      </c>
      <c r="J5" s="83">
        <v>16945.737673749998</v>
      </c>
      <c r="K5" s="83">
        <v>17961.204939119998</v>
      </c>
      <c r="L5" s="83">
        <v>17154.647000000001</v>
      </c>
    </row>
    <row r="6" spans="1:14" ht="16" customHeight="1" x14ac:dyDescent="0.35">
      <c r="B6" s="82" t="s">
        <v>114</v>
      </c>
      <c r="C6" s="82" t="s">
        <v>277</v>
      </c>
      <c r="D6" s="83">
        <v>1509.9659727600001</v>
      </c>
      <c r="E6" s="83">
        <v>1355.9210087599999</v>
      </c>
      <c r="F6" s="83">
        <v>1476.8758016299998</v>
      </c>
      <c r="G6" s="83">
        <v>1523.8889133600001</v>
      </c>
      <c r="H6" s="83">
        <v>1752.1891358</v>
      </c>
      <c r="I6" s="83">
        <v>1594.1753719299998</v>
      </c>
      <c r="J6" s="83">
        <v>1766.7335850599993</v>
      </c>
      <c r="K6" s="83">
        <v>2531.9006663899995</v>
      </c>
      <c r="L6" s="83">
        <v>2812.3690000000001</v>
      </c>
    </row>
    <row r="7" spans="1:14" ht="16" customHeight="1" x14ac:dyDescent="0.35">
      <c r="B7" s="82" t="s">
        <v>319</v>
      </c>
      <c r="C7" s="82" t="s">
        <v>320</v>
      </c>
      <c r="D7" s="83">
        <v>1718.9082696200001</v>
      </c>
      <c r="E7" s="83">
        <v>2719.3857817100006</v>
      </c>
      <c r="F7" s="83">
        <v>3401.7930695700002</v>
      </c>
      <c r="G7" s="83">
        <v>4084.3831728499999</v>
      </c>
      <c r="H7" s="83">
        <v>5347.1758607600004</v>
      </c>
      <c r="I7" s="83">
        <v>6287.1631338999987</v>
      </c>
      <c r="J7" s="83">
        <v>6281.4367629300004</v>
      </c>
      <c r="K7" s="83">
        <v>6941.6430794199978</v>
      </c>
      <c r="L7" s="83">
        <v>8555.9860000000008</v>
      </c>
    </row>
    <row r="8" spans="1:14" ht="16" customHeight="1" x14ac:dyDescent="0.35">
      <c r="B8" s="82" t="s">
        <v>115</v>
      </c>
      <c r="C8" s="82" t="s">
        <v>280</v>
      </c>
      <c r="D8" s="83">
        <v>2372.0466532199998</v>
      </c>
      <c r="E8" s="83">
        <v>2752.3162856999993</v>
      </c>
      <c r="F8" s="83">
        <v>3480.9989941499998</v>
      </c>
      <c r="G8" s="83">
        <v>4459.6286333500002</v>
      </c>
      <c r="H8" s="83">
        <v>3771.304071609999</v>
      </c>
      <c r="I8" s="83">
        <v>6912.8987326599981</v>
      </c>
      <c r="J8" s="83">
        <v>9308.941676649998</v>
      </c>
      <c r="K8" s="83">
        <v>9378.1232091900001</v>
      </c>
      <c r="L8" s="83">
        <v>9422.6319999999996</v>
      </c>
    </row>
    <row r="9" spans="1:14" ht="16" customHeight="1" x14ac:dyDescent="0.35">
      <c r="A9" s="165"/>
      <c r="B9" s="84" t="s">
        <v>116</v>
      </c>
      <c r="C9" s="84" t="s">
        <v>276</v>
      </c>
      <c r="D9" s="85">
        <v>0</v>
      </c>
      <c r="E9" s="85">
        <v>0</v>
      </c>
      <c r="F9" s="85">
        <v>0</v>
      </c>
      <c r="G9" s="85">
        <v>480.10338220999995</v>
      </c>
      <c r="H9" s="85">
        <v>445.55368816000004</v>
      </c>
      <c r="I9" s="85">
        <v>649.74742261999995</v>
      </c>
      <c r="J9" s="85">
        <v>668.90631981000001</v>
      </c>
      <c r="K9" s="85">
        <v>667.0893604800001</v>
      </c>
      <c r="L9" s="85">
        <v>890.61300000000006</v>
      </c>
    </row>
    <row r="10" spans="1:14" ht="16" customHeight="1" x14ac:dyDescent="0.35">
      <c r="A10" s="165"/>
      <c r="B10" s="86" t="s">
        <v>117</v>
      </c>
      <c r="C10" s="86" t="s">
        <v>272</v>
      </c>
      <c r="D10" s="87">
        <f t="shared" ref="D10:L10" si="0">SUM(D4:D9)</f>
        <v>18916.073012639994</v>
      </c>
      <c r="E10" s="87">
        <f t="shared" si="0"/>
        <v>20851.505280539997</v>
      </c>
      <c r="F10" s="87">
        <f t="shared" si="0"/>
        <v>23826.059357869999</v>
      </c>
      <c r="G10" s="87">
        <f t="shared" si="0"/>
        <v>25301.052653409992</v>
      </c>
      <c r="H10" s="87">
        <f t="shared" si="0"/>
        <v>28582.838224270003</v>
      </c>
      <c r="I10" s="87">
        <f t="shared" si="0"/>
        <v>33843.891729729999</v>
      </c>
      <c r="J10" s="87">
        <f t="shared" si="0"/>
        <v>35331.825282509992</v>
      </c>
      <c r="K10" s="87">
        <f t="shared" si="0"/>
        <v>37825.762609949998</v>
      </c>
      <c r="L10" s="87">
        <f t="shared" si="0"/>
        <v>39292.784999999996</v>
      </c>
    </row>
    <row r="11" spans="1:14" ht="16" customHeight="1" x14ac:dyDescent="0.35">
      <c r="A11" s="165"/>
      <c r="B11" s="72" t="s">
        <v>118</v>
      </c>
      <c r="C11" s="72" t="s">
        <v>273</v>
      </c>
      <c r="D11" s="3">
        <f t="shared" ref="D11:L11" si="1">SUM(D4:D5)/D10</f>
        <v>0.70390678383101069</v>
      </c>
      <c r="E11" s="3">
        <f t="shared" si="1"/>
        <v>0.672559703277538</v>
      </c>
      <c r="F11" s="3">
        <f t="shared" si="1"/>
        <v>0.64913762113210238</v>
      </c>
      <c r="G11" s="3">
        <f t="shared" si="1"/>
        <v>0.5831001877169576</v>
      </c>
      <c r="H11" s="3">
        <f t="shared" si="1"/>
        <v>0.60409030525452623</v>
      </c>
      <c r="I11" s="3">
        <f t="shared" si="1"/>
        <v>0.54366995425814746</v>
      </c>
      <c r="J11" s="3">
        <f t="shared" si="1"/>
        <v>0.48980789414881271</v>
      </c>
      <c r="K11" s="3">
        <f t="shared" si="1"/>
        <v>0.48398247731968719</v>
      </c>
      <c r="L11" s="3">
        <f t="shared" si="1"/>
        <v>0.44820404051278123</v>
      </c>
    </row>
    <row r="12" spans="1:14" ht="16" customHeight="1" x14ac:dyDescent="0.35">
      <c r="A12" s="165"/>
      <c r="B12" s="72" t="s">
        <v>119</v>
      </c>
      <c r="C12" s="72" t="s">
        <v>274</v>
      </c>
      <c r="D12" s="3">
        <f t="shared" ref="D12:L12" si="2">SUM(D6:D9)/D10</f>
        <v>0.29609321616898937</v>
      </c>
      <c r="E12" s="3">
        <f t="shared" si="2"/>
        <v>0.327440296722462</v>
      </c>
      <c r="F12" s="3">
        <f t="shared" si="2"/>
        <v>0.35086237886789751</v>
      </c>
      <c r="G12" s="3">
        <f t="shared" si="2"/>
        <v>0.41689981228304246</v>
      </c>
      <c r="H12" s="3">
        <f t="shared" si="2"/>
        <v>0.39590969474547388</v>
      </c>
      <c r="I12" s="3">
        <f t="shared" si="2"/>
        <v>0.45633004574185254</v>
      </c>
      <c r="J12" s="3">
        <f t="shared" si="2"/>
        <v>0.51019210585118746</v>
      </c>
      <c r="K12" s="3">
        <f t="shared" si="2"/>
        <v>0.51601752268031276</v>
      </c>
      <c r="L12" s="3">
        <f t="shared" si="2"/>
        <v>0.55179595948721893</v>
      </c>
    </row>
    <row r="13" spans="1:14" ht="16" customHeight="1" x14ac:dyDescent="0.35">
      <c r="A13" s="165"/>
      <c r="B13" s="12" t="s">
        <v>101</v>
      </c>
      <c r="C13" s="12" t="s">
        <v>101</v>
      </c>
      <c r="D13" s="54">
        <f t="shared" ref="D13:J13" si="3">SUM(D11:D12)</f>
        <v>1</v>
      </c>
      <c r="E13" s="54">
        <f t="shared" si="3"/>
        <v>1</v>
      </c>
      <c r="F13" s="54">
        <f t="shared" si="3"/>
        <v>0.99999999999999989</v>
      </c>
      <c r="G13" s="54">
        <f t="shared" si="3"/>
        <v>1</v>
      </c>
      <c r="H13" s="54">
        <f t="shared" si="3"/>
        <v>1</v>
      </c>
      <c r="I13" s="54">
        <f t="shared" si="3"/>
        <v>1</v>
      </c>
      <c r="J13" s="54">
        <f t="shared" si="3"/>
        <v>1.0000000000000002</v>
      </c>
      <c r="K13" s="54">
        <f>SUM(K11:K12)</f>
        <v>1</v>
      </c>
      <c r="L13" s="54">
        <f>SUM(L11:L12)</f>
        <v>1.0000000000000002</v>
      </c>
    </row>
    <row r="14" spans="1:14" ht="16" customHeight="1" x14ac:dyDescent="0.35">
      <c r="B14" s="12" t="s">
        <v>120</v>
      </c>
      <c r="C14" s="12" t="s">
        <v>275</v>
      </c>
      <c r="D14" s="54">
        <f>'Carteira de Crédito'!F13/Funding!D10</f>
        <v>0.94734073477965641</v>
      </c>
      <c r="E14" s="54">
        <f>'Carteira de Crédito'!G13/Funding!E10</f>
        <v>0.92253277942012635</v>
      </c>
      <c r="F14" s="54">
        <f>'Carteira de Crédito'!H13/Funding!F10</f>
        <v>0.92583217509754512</v>
      </c>
      <c r="G14" s="54">
        <f>'Carteira de Crédito'!I13/Funding!G10</f>
        <v>0.95741584251931244</v>
      </c>
      <c r="H14" s="54">
        <f>'Carteira de Crédito'!J13/Funding!H10</f>
        <v>0.95300441709496087</v>
      </c>
      <c r="I14" s="54">
        <f>'Carteira de Crédito'!K13/Funding!I10</f>
        <v>0.90413309870803438</v>
      </c>
      <c r="J14" s="54">
        <f>'Carteira de Crédito'!L13/Funding!J10</f>
        <v>0.97536304784935968</v>
      </c>
      <c r="K14" s="54">
        <f>'Carteira de Crédito'!M13/Funding!K10</f>
        <v>0.92146300814650195</v>
      </c>
      <c r="L14" s="54">
        <f>'Carteira de Crédito'!N13/Funding!L10</f>
        <v>0.90343596135931836</v>
      </c>
    </row>
    <row r="15" spans="1:14" ht="16" customHeight="1" x14ac:dyDescent="0.35">
      <c r="A15" s="166"/>
    </row>
    <row r="16" spans="1:14" x14ac:dyDescent="0.35">
      <c r="L16" s="53"/>
    </row>
    <row r="54" spans="1:1" x14ac:dyDescent="0.35">
      <c r="A54" s="166"/>
    </row>
  </sheetData>
  <mergeCells count="2">
    <mergeCell ref="B1:B2"/>
    <mergeCell ref="C1:C2"/>
  </mergeCells>
  <conditionalFormatting sqref="A1:A54 A56:A1048576">
    <cfRule type="cellIs" dxfId="9" priority="3" operator="equal">
      <formula>"-"</formula>
    </cfRule>
  </conditionalFormatting>
  <conditionalFormatting sqref="B1:C2">
    <cfRule type="cellIs" dxfId="8" priority="5" operator="equal">
      <formula>"-"</formula>
    </cfRule>
  </conditionalFormatting>
  <conditionalFormatting sqref="B3:L3">
    <cfRule type="cellIs" dxfId="7" priority="1" operator="equal">
      <formula>"-"</formula>
    </cfRule>
  </conditionalFormatting>
  <hyperlinks>
    <hyperlink ref="B1:B2" location="Menu!A1" display="MENU" xr:uid="{EC043643-47EF-4241-B272-FFDD63C4F405}"/>
    <hyperlink ref="C1:C2" location="Menu!A1" display="MENU" xr:uid="{3C40BD66-2AD1-4D73-B6D8-FB49966EF47A}"/>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D8E62-8B7C-4711-84F5-D877D6C3B5E2}">
  <sheetPr>
    <tabColor rgb="FF00B050"/>
  </sheetPr>
  <dimension ref="A1:AC54"/>
  <sheetViews>
    <sheetView showGridLines="0" zoomScale="85" zoomScaleNormal="85" workbookViewId="0">
      <pane xSplit="3" ySplit="5" topLeftCell="D6" activePane="bottomRight" state="frozen"/>
      <selection pane="topRight" activeCell="D1" sqref="D1"/>
      <selection pane="bottomLeft" activeCell="A6" sqref="A6"/>
      <selection pane="bottomRight" activeCell="D4" sqref="D4"/>
    </sheetView>
  </sheetViews>
  <sheetFormatPr defaultColWidth="9.1796875" defaultRowHeight="16" outlineLevelCol="1" x14ac:dyDescent="0.35"/>
  <cols>
    <col min="1" max="1" width="1.6328125" style="164" customWidth="1"/>
    <col min="2" max="2" width="85.6328125" style="91" hidden="1" customWidth="1"/>
    <col min="3" max="3" width="85.6328125" style="91" customWidth="1" outlineLevel="1"/>
    <col min="4" max="23" width="16.1796875" style="91" customWidth="1"/>
    <col min="24" max="29" width="17.6328125" style="91" customWidth="1"/>
    <col min="30" max="16384" width="9.1796875" style="91"/>
  </cols>
  <sheetData>
    <row r="1" spans="1:29" ht="16" customHeight="1" x14ac:dyDescent="0.35">
      <c r="B1" s="179" t="s">
        <v>15</v>
      </c>
      <c r="C1" s="179" t="s">
        <v>15</v>
      </c>
    </row>
    <row r="2" spans="1:29" ht="16" customHeight="1" x14ac:dyDescent="0.35">
      <c r="B2" s="179"/>
      <c r="C2" s="179"/>
    </row>
    <row r="3" spans="1:29" s="29" customFormat="1" ht="16" customHeight="1" x14ac:dyDescent="0.35">
      <c r="A3" s="164"/>
      <c r="B3" s="10" t="s">
        <v>314</v>
      </c>
      <c r="C3" s="10" t="s">
        <v>141</v>
      </c>
      <c r="D3" s="10" t="s">
        <v>342</v>
      </c>
      <c r="E3" s="10" t="s">
        <v>343</v>
      </c>
      <c r="F3" s="10" t="s">
        <v>344</v>
      </c>
      <c r="G3" s="10" t="s">
        <v>345</v>
      </c>
      <c r="H3" s="10" t="s">
        <v>346</v>
      </c>
      <c r="I3" s="10" t="s">
        <v>347</v>
      </c>
      <c r="J3" s="10" t="s">
        <v>348</v>
      </c>
      <c r="K3" s="10" t="s">
        <v>349</v>
      </c>
      <c r="L3" s="10" t="s">
        <v>350</v>
      </c>
      <c r="M3" s="10" t="s">
        <v>351</v>
      </c>
      <c r="N3" s="10" t="s">
        <v>352</v>
      </c>
      <c r="O3" s="10" t="s">
        <v>353</v>
      </c>
      <c r="P3" s="10" t="s">
        <v>354</v>
      </c>
      <c r="Q3" s="10" t="s">
        <v>355</v>
      </c>
      <c r="R3" s="10" t="s">
        <v>356</v>
      </c>
      <c r="S3" s="10" t="s">
        <v>357</v>
      </c>
      <c r="T3" s="10" t="s">
        <v>358</v>
      </c>
      <c r="U3" s="10" t="s">
        <v>359</v>
      </c>
      <c r="V3" s="10" t="s">
        <v>360</v>
      </c>
      <c r="W3" s="10" t="s">
        <v>361</v>
      </c>
      <c r="X3" s="10" t="s">
        <v>336</v>
      </c>
      <c r="Y3" s="10" t="s">
        <v>337</v>
      </c>
      <c r="Z3" s="10" t="s">
        <v>338</v>
      </c>
      <c r="AA3" s="10" t="s">
        <v>339</v>
      </c>
      <c r="AB3" s="10" t="s">
        <v>340</v>
      </c>
      <c r="AC3" s="10" t="s">
        <v>341</v>
      </c>
    </row>
    <row r="4" spans="1:29" ht="16" customHeight="1" x14ac:dyDescent="0.35">
      <c r="B4" s="103"/>
      <c r="C4" s="103"/>
      <c r="D4" s="104"/>
      <c r="E4" s="104"/>
      <c r="F4" s="104"/>
      <c r="G4" s="104"/>
      <c r="H4" s="104"/>
      <c r="I4" s="104"/>
      <c r="J4" s="104"/>
      <c r="K4" s="104"/>
      <c r="L4" s="104"/>
      <c r="M4" s="104"/>
      <c r="N4" s="104"/>
      <c r="O4" s="104"/>
      <c r="P4" s="104"/>
      <c r="Q4" s="104"/>
      <c r="R4" s="104"/>
      <c r="S4" s="104"/>
      <c r="T4" s="104"/>
      <c r="U4" s="104"/>
      <c r="V4" s="104"/>
      <c r="W4" s="104"/>
    </row>
    <row r="5" spans="1:29" ht="16" customHeight="1" x14ac:dyDescent="0.3">
      <c r="A5" s="165"/>
      <c r="B5" s="10" t="s">
        <v>315</v>
      </c>
      <c r="C5" s="10" t="s">
        <v>142</v>
      </c>
      <c r="D5" s="10" t="s">
        <v>342</v>
      </c>
      <c r="E5" s="10" t="s">
        <v>343</v>
      </c>
      <c r="F5" s="10" t="s">
        <v>344</v>
      </c>
      <c r="G5" s="10" t="s">
        <v>345</v>
      </c>
      <c r="H5" s="10" t="s">
        <v>346</v>
      </c>
      <c r="I5" s="10" t="s">
        <v>347</v>
      </c>
      <c r="J5" s="10" t="s">
        <v>348</v>
      </c>
      <c r="K5" s="10" t="s">
        <v>349</v>
      </c>
      <c r="L5" s="10" t="s">
        <v>350</v>
      </c>
      <c r="M5" s="10" t="s">
        <v>351</v>
      </c>
      <c r="N5" s="10" t="s">
        <v>352</v>
      </c>
      <c r="O5" s="10" t="s">
        <v>353</v>
      </c>
      <c r="P5" s="10" t="s">
        <v>354</v>
      </c>
      <c r="Q5" s="10" t="s">
        <v>355</v>
      </c>
      <c r="R5" s="10" t="s">
        <v>356</v>
      </c>
      <c r="S5" s="10" t="s">
        <v>357</v>
      </c>
      <c r="T5" s="10" t="s">
        <v>358</v>
      </c>
      <c r="U5" s="10" t="s">
        <v>359</v>
      </c>
      <c r="V5" s="10" t="s">
        <v>360</v>
      </c>
      <c r="W5" s="10" t="s">
        <v>361</v>
      </c>
      <c r="X5" s="10" t="s">
        <v>336</v>
      </c>
      <c r="Y5" s="10" t="s">
        <v>337</v>
      </c>
      <c r="Z5" s="10" t="s">
        <v>338</v>
      </c>
      <c r="AA5" s="10" t="s">
        <v>339</v>
      </c>
      <c r="AB5" s="10" t="s">
        <v>340</v>
      </c>
      <c r="AC5" s="10" t="s">
        <v>341</v>
      </c>
    </row>
    <row r="6" spans="1:29" ht="16" customHeight="1" x14ac:dyDescent="0.35">
      <c r="B6" s="89" t="s">
        <v>241</v>
      </c>
      <c r="C6" s="89" t="s">
        <v>143</v>
      </c>
      <c r="D6" s="105">
        <v>988922</v>
      </c>
      <c r="E6" s="105">
        <v>1034500</v>
      </c>
      <c r="F6" s="105">
        <v>941301</v>
      </c>
      <c r="G6" s="105">
        <v>984002</v>
      </c>
      <c r="H6" s="105">
        <v>1011561</v>
      </c>
      <c r="I6" s="105">
        <v>1091173</v>
      </c>
      <c r="J6" s="105">
        <v>1218377</v>
      </c>
      <c r="K6" s="105">
        <v>1476363</v>
      </c>
      <c r="L6" s="105">
        <v>1696398</v>
      </c>
      <c r="M6" s="105">
        <v>1862801</v>
      </c>
      <c r="N6" s="105">
        <v>1964080</v>
      </c>
      <c r="O6" s="105">
        <v>2030154</v>
      </c>
      <c r="P6" s="105">
        <v>2134616</v>
      </c>
      <c r="Q6" s="105">
        <v>2128984</v>
      </c>
      <c r="R6" s="105">
        <v>2274369</v>
      </c>
      <c r="S6" s="105">
        <v>2471325</v>
      </c>
      <c r="T6" s="105">
        <v>2656595</v>
      </c>
      <c r="U6" s="105">
        <v>2873273</v>
      </c>
      <c r="V6" s="105">
        <v>3196742</v>
      </c>
      <c r="W6" s="106">
        <v>3606027</v>
      </c>
      <c r="X6" s="106">
        <v>3883456</v>
      </c>
      <c r="Y6" s="106">
        <v>4631651</v>
      </c>
      <c r="Z6" s="106">
        <v>5563438</v>
      </c>
      <c r="AA6" s="106">
        <v>6391456</v>
      </c>
      <c r="AB6" s="106">
        <v>6715368</v>
      </c>
      <c r="AC6" s="106">
        <v>7069876</v>
      </c>
    </row>
    <row r="7" spans="1:29" ht="16" customHeight="1" x14ac:dyDescent="0.35">
      <c r="B7" s="89" t="s">
        <v>242</v>
      </c>
      <c r="C7" s="89" t="s">
        <v>144</v>
      </c>
      <c r="D7" s="105">
        <v>595</v>
      </c>
      <c r="E7" s="105">
        <v>604</v>
      </c>
      <c r="F7" s="105">
        <v>614</v>
      </c>
      <c r="G7" s="105">
        <v>638</v>
      </c>
      <c r="H7" s="105">
        <v>682</v>
      </c>
      <c r="I7" s="105">
        <v>723</v>
      </c>
      <c r="J7" s="105">
        <v>801</v>
      </c>
      <c r="K7" s="105">
        <v>846</v>
      </c>
      <c r="L7" s="105">
        <v>881</v>
      </c>
      <c r="M7" s="105">
        <v>883</v>
      </c>
      <c r="N7" s="105">
        <v>882</v>
      </c>
      <c r="O7" s="105">
        <v>882</v>
      </c>
      <c r="P7" s="105">
        <v>882</v>
      </c>
      <c r="Q7" s="105">
        <v>882</v>
      </c>
      <c r="R7" s="105">
        <v>882</v>
      </c>
      <c r="S7" s="105">
        <v>882</v>
      </c>
      <c r="T7" s="105">
        <v>901</v>
      </c>
      <c r="U7" s="105">
        <v>915</v>
      </c>
      <c r="V7" s="105">
        <v>944</v>
      </c>
      <c r="W7" s="105">
        <v>983</v>
      </c>
      <c r="X7" s="106">
        <v>1006</v>
      </c>
      <c r="Y7" s="106">
        <v>1016</v>
      </c>
      <c r="Z7" s="106">
        <v>1057</v>
      </c>
      <c r="AA7" s="107">
        <v>1101</v>
      </c>
      <c r="AB7" s="107">
        <v>1111</v>
      </c>
      <c r="AC7" s="107">
        <v>1115</v>
      </c>
    </row>
    <row r="8" spans="1:29" ht="16" customHeight="1" x14ac:dyDescent="0.35">
      <c r="B8" s="89" t="s">
        <v>243</v>
      </c>
      <c r="C8" s="89" t="s">
        <v>145</v>
      </c>
      <c r="D8" s="105">
        <v>0</v>
      </c>
      <c r="E8" s="105">
        <v>9</v>
      </c>
      <c r="F8" s="105">
        <v>10</v>
      </c>
      <c r="G8" s="105">
        <v>24</v>
      </c>
      <c r="H8" s="105">
        <v>44</v>
      </c>
      <c r="I8" s="105">
        <v>41</v>
      </c>
      <c r="J8" s="105">
        <v>78</v>
      </c>
      <c r="K8" s="105">
        <v>45</v>
      </c>
      <c r="L8" s="105">
        <v>35</v>
      </c>
      <c r="M8" s="105">
        <v>2</v>
      </c>
      <c r="N8" s="105">
        <v>-1</v>
      </c>
      <c r="O8" s="105">
        <v>0</v>
      </c>
      <c r="P8" s="105">
        <v>0</v>
      </c>
      <c r="Q8" s="105">
        <v>0</v>
      </c>
      <c r="R8" s="105">
        <v>0</v>
      </c>
      <c r="S8" s="105">
        <v>0</v>
      </c>
      <c r="T8" s="105">
        <v>19</v>
      </c>
      <c r="U8" s="105">
        <v>14</v>
      </c>
      <c r="V8" s="105">
        <f t="shared" ref="V8:AA8" si="0">V7-U7</f>
        <v>29</v>
      </c>
      <c r="W8" s="105">
        <f t="shared" si="0"/>
        <v>39</v>
      </c>
      <c r="X8" s="106">
        <f t="shared" si="0"/>
        <v>23</v>
      </c>
      <c r="Y8" s="106">
        <f t="shared" si="0"/>
        <v>10</v>
      </c>
      <c r="Z8" s="106">
        <f t="shared" si="0"/>
        <v>41</v>
      </c>
      <c r="AA8" s="106">
        <f t="shared" si="0"/>
        <v>44</v>
      </c>
      <c r="AB8" s="106">
        <f>AB7-AA7</f>
        <v>10</v>
      </c>
      <c r="AC8" s="106">
        <f>AC7-AB7</f>
        <v>4</v>
      </c>
    </row>
    <row r="9" spans="1:29" ht="16" customHeight="1" x14ac:dyDescent="0.3">
      <c r="A9" s="165"/>
      <c r="B9" s="89" t="s">
        <v>244</v>
      </c>
      <c r="C9" s="89" t="s">
        <v>146</v>
      </c>
      <c r="D9" s="105">
        <v>3279</v>
      </c>
      <c r="E9" s="105">
        <v>3341</v>
      </c>
      <c r="F9" s="105">
        <v>3229</v>
      </c>
      <c r="G9" s="105">
        <v>3212</v>
      </c>
      <c r="H9" s="105">
        <v>3276</v>
      </c>
      <c r="I9" s="105">
        <v>3541</v>
      </c>
      <c r="J9" s="105">
        <v>3848</v>
      </c>
      <c r="K9" s="105">
        <v>4253</v>
      </c>
      <c r="L9" s="105">
        <v>4296</v>
      </c>
      <c r="M9" s="105">
        <v>4206</v>
      </c>
      <c r="N9" s="105">
        <v>4100</v>
      </c>
      <c r="O9" s="105">
        <v>4068</v>
      </c>
      <c r="P9" s="105">
        <v>4014</v>
      </c>
      <c r="Q9" s="105">
        <v>4024</v>
      </c>
      <c r="R9" s="105">
        <v>3995</v>
      </c>
      <c r="S9" s="105">
        <v>4050</v>
      </c>
      <c r="T9" s="105">
        <v>4116</v>
      </c>
      <c r="U9" s="105">
        <v>4218</v>
      </c>
      <c r="V9" s="105">
        <v>4260</v>
      </c>
      <c r="W9" s="106">
        <v>4580</v>
      </c>
      <c r="X9" s="106">
        <v>4700</v>
      </c>
      <c r="Y9" s="106">
        <v>4661</v>
      </c>
      <c r="Z9" s="106">
        <v>5030</v>
      </c>
      <c r="AA9" s="91">
        <v>5062</v>
      </c>
      <c r="AB9" s="91">
        <v>5001</v>
      </c>
      <c r="AC9" s="91">
        <v>5010</v>
      </c>
    </row>
    <row r="10" spans="1:29" ht="16" customHeight="1" x14ac:dyDescent="0.35">
      <c r="A10" s="165"/>
      <c r="B10" s="108"/>
      <c r="C10" s="108"/>
      <c r="D10" s="109"/>
      <c r="E10" s="109"/>
      <c r="F10" s="109"/>
      <c r="G10" s="109"/>
      <c r="H10" s="109"/>
      <c r="I10" s="109"/>
      <c r="J10" s="109"/>
      <c r="K10" s="109"/>
      <c r="L10" s="109"/>
      <c r="M10" s="109"/>
      <c r="N10" s="109"/>
      <c r="O10" s="109"/>
      <c r="P10" s="109"/>
      <c r="Q10" s="109"/>
      <c r="R10" s="109"/>
      <c r="S10" s="109"/>
      <c r="T10" s="109"/>
      <c r="U10" s="109"/>
      <c r="V10" s="109"/>
      <c r="W10" s="109"/>
      <c r="X10" s="109"/>
      <c r="Y10" s="110"/>
    </row>
    <row r="11" spans="1:29" ht="16" customHeight="1" x14ac:dyDescent="0.3">
      <c r="A11" s="165"/>
      <c r="B11" s="10" t="s">
        <v>316</v>
      </c>
      <c r="C11" s="10" t="s">
        <v>147</v>
      </c>
      <c r="D11" s="10" t="s">
        <v>342</v>
      </c>
      <c r="E11" s="10" t="s">
        <v>343</v>
      </c>
      <c r="F11" s="10" t="s">
        <v>344</v>
      </c>
      <c r="G11" s="10" t="s">
        <v>345</v>
      </c>
      <c r="H11" s="10" t="s">
        <v>346</v>
      </c>
      <c r="I11" s="10" t="s">
        <v>347</v>
      </c>
      <c r="J11" s="10" t="s">
        <v>348</v>
      </c>
      <c r="K11" s="10" t="s">
        <v>349</v>
      </c>
      <c r="L11" s="10" t="s">
        <v>350</v>
      </c>
      <c r="M11" s="10" t="s">
        <v>351</v>
      </c>
      <c r="N11" s="10" t="s">
        <v>352</v>
      </c>
      <c r="O11" s="10" t="s">
        <v>353</v>
      </c>
      <c r="P11" s="10" t="s">
        <v>354</v>
      </c>
      <c r="Q11" s="10" t="s">
        <v>355</v>
      </c>
      <c r="R11" s="10" t="s">
        <v>356</v>
      </c>
      <c r="S11" s="10" t="s">
        <v>357</v>
      </c>
      <c r="T11" s="10" t="s">
        <v>358</v>
      </c>
      <c r="U11" s="10" t="s">
        <v>359</v>
      </c>
      <c r="V11" s="10" t="s">
        <v>360</v>
      </c>
      <c r="W11" s="10" t="s">
        <v>361</v>
      </c>
      <c r="X11" s="10" t="s">
        <v>336</v>
      </c>
      <c r="Y11" s="10" t="s">
        <v>337</v>
      </c>
      <c r="Z11" s="10" t="s">
        <v>338</v>
      </c>
      <c r="AA11" s="10" t="s">
        <v>339</v>
      </c>
      <c r="AB11" s="10" t="s">
        <v>340</v>
      </c>
      <c r="AC11" s="10" t="s">
        <v>341</v>
      </c>
    </row>
    <row r="12" spans="1:29" ht="16" customHeight="1" x14ac:dyDescent="0.3">
      <c r="A12" s="165"/>
      <c r="B12" s="89" t="s">
        <v>245</v>
      </c>
      <c r="C12" s="89" t="s">
        <v>148</v>
      </c>
      <c r="D12" s="92">
        <v>0.143952</v>
      </c>
      <c r="E12" s="92">
        <v>0.126718</v>
      </c>
      <c r="F12" s="92">
        <v>0.138539</v>
      </c>
      <c r="G12" s="92">
        <v>0.13200500000000001</v>
      </c>
      <c r="H12" s="92">
        <v>0.12520100000000001</v>
      </c>
      <c r="I12" s="92">
        <v>0.157302</v>
      </c>
      <c r="J12" s="92">
        <v>0.13452900000000001</v>
      </c>
      <c r="K12" s="92">
        <v>9.7142000000000006E-2</v>
      </c>
      <c r="L12" s="92">
        <v>0.107394</v>
      </c>
      <c r="M12" s="92">
        <v>0.11762</v>
      </c>
      <c r="N12" s="92">
        <v>0.114509</v>
      </c>
      <c r="O12" s="92">
        <v>0.167181</v>
      </c>
      <c r="P12" s="92">
        <v>0.15742</v>
      </c>
      <c r="Q12" s="92">
        <v>0.14640400000000001</v>
      </c>
      <c r="R12" s="92">
        <v>0.14330000000000001</v>
      </c>
      <c r="S12" s="92">
        <v>0.13652400000000001</v>
      </c>
      <c r="T12" s="92">
        <v>0.141378</v>
      </c>
      <c r="U12" s="92">
        <v>0.14651</v>
      </c>
      <c r="V12" s="92">
        <v>0.15081600000000001</v>
      </c>
      <c r="W12" s="92">
        <v>0.13769999999999999</v>
      </c>
      <c r="X12" s="111">
        <v>0.13975372301447331</v>
      </c>
      <c r="Y12" s="111">
        <v>0.15310111782779245</v>
      </c>
      <c r="Z12" s="111">
        <v>0.15026212560882543</v>
      </c>
      <c r="AA12" s="111">
        <v>0.13739999999999999</v>
      </c>
      <c r="AB12" s="111">
        <v>0.15509999999999999</v>
      </c>
      <c r="AC12" s="111">
        <v>0.19344615770235965</v>
      </c>
    </row>
    <row r="13" spans="1:29" ht="16" customHeight="1" x14ac:dyDescent="0.3">
      <c r="A13" s="165"/>
      <c r="B13" s="102" t="s">
        <v>246</v>
      </c>
      <c r="C13" s="102" t="s">
        <v>149</v>
      </c>
      <c r="D13" s="92">
        <v>0.13469700000000001</v>
      </c>
      <c r="E13" s="92">
        <v>0.118238</v>
      </c>
      <c r="F13" s="92">
        <v>0.12587100000000001</v>
      </c>
      <c r="G13" s="92">
        <v>0.120159</v>
      </c>
      <c r="H13" s="92">
        <v>0.113858</v>
      </c>
      <c r="I13" s="92">
        <v>0.14647399999999999</v>
      </c>
      <c r="J13" s="92">
        <v>0.12679299999999999</v>
      </c>
      <c r="K13" s="92">
        <v>9.0463000000000002E-2</v>
      </c>
      <c r="L13" s="92">
        <v>9.9145999999999998E-2</v>
      </c>
      <c r="M13" s="92">
        <v>0.109544</v>
      </c>
      <c r="N13" s="92">
        <v>0.101498</v>
      </c>
      <c r="O13" s="92">
        <v>0.12690599999999999</v>
      </c>
      <c r="P13" s="92">
        <v>0.118717</v>
      </c>
      <c r="Q13" s="92">
        <v>0.111252</v>
      </c>
      <c r="R13" s="92">
        <v>0.11135100000000001</v>
      </c>
      <c r="S13" s="92">
        <v>0.10774499999999999</v>
      </c>
      <c r="T13" s="92">
        <v>0.11447499999999999</v>
      </c>
      <c r="U13" s="92">
        <v>0.114619</v>
      </c>
      <c r="V13" s="92">
        <v>0.12236</v>
      </c>
      <c r="W13" s="92">
        <v>0.115686</v>
      </c>
      <c r="X13" s="111">
        <v>0.11886176694527185</v>
      </c>
      <c r="Y13" s="111">
        <v>0.13452318190135848</v>
      </c>
      <c r="Z13" s="111">
        <v>0.13373738196912158</v>
      </c>
      <c r="AA13" s="111">
        <v>0.12461787521068447</v>
      </c>
      <c r="AB13" s="111">
        <v>0.14192859099810171</v>
      </c>
      <c r="AC13" s="111">
        <v>0.18111165169509919</v>
      </c>
    </row>
    <row r="14" spans="1:29" ht="16" customHeight="1" x14ac:dyDescent="0.35">
      <c r="B14" s="89" t="s">
        <v>150</v>
      </c>
      <c r="C14" s="89" t="s">
        <v>150</v>
      </c>
      <c r="D14" s="92">
        <v>36.773808917197456</v>
      </c>
      <c r="E14" s="92">
        <v>14.517796347879914</v>
      </c>
      <c r="F14" s="92">
        <v>70.401425178147278</v>
      </c>
      <c r="G14" s="92">
        <v>32.469626290686094</v>
      </c>
      <c r="H14" s="92">
        <v>71.894650909656349</v>
      </c>
      <c r="I14" s="92">
        <v>54.872999999999998</v>
      </c>
      <c r="J14" s="92">
        <v>29.899000000000001</v>
      </c>
      <c r="K14" s="92">
        <v>48.283304279367933</v>
      </c>
      <c r="L14" s="92">
        <v>39.281281047774272</v>
      </c>
      <c r="M14" s="92">
        <v>11.873756417670679</v>
      </c>
      <c r="N14" s="92">
        <v>2.5300396697966292</v>
      </c>
      <c r="O14" s="92">
        <v>3.5654195840674427</v>
      </c>
      <c r="P14" s="92">
        <v>1.7465169482935869</v>
      </c>
      <c r="Q14" s="92">
        <v>2.5421942973865712</v>
      </c>
      <c r="R14" s="92">
        <v>1.9048865932378523</v>
      </c>
      <c r="S14" s="92">
        <v>1.8428358127540081</v>
      </c>
      <c r="T14" s="92">
        <v>2.1962231167903878</v>
      </c>
      <c r="U14" s="92">
        <v>1.6342309624741542</v>
      </c>
      <c r="V14" s="92">
        <v>1.8573</v>
      </c>
      <c r="W14" s="112">
        <v>1.5784</v>
      </c>
      <c r="X14" s="112">
        <v>1.9036999999999999</v>
      </c>
      <c r="Y14" s="112">
        <v>2.5358000000000001</v>
      </c>
      <c r="Z14" s="112">
        <v>7.0361000000000002</v>
      </c>
      <c r="AA14" s="112">
        <v>2.7741735367115892</v>
      </c>
      <c r="AB14" s="111">
        <v>17.7</v>
      </c>
      <c r="AC14" s="111">
        <v>2.7900000940965723</v>
      </c>
    </row>
    <row r="15" spans="1:29" ht="16" customHeight="1" x14ac:dyDescent="0.35">
      <c r="A15" s="166"/>
    </row>
    <row r="16" spans="1:29" ht="64.5" customHeight="1" x14ac:dyDescent="0.35">
      <c r="B16" s="149" t="s">
        <v>312</v>
      </c>
      <c r="C16" s="150" t="s">
        <v>151</v>
      </c>
      <c r="K16" s="93"/>
    </row>
    <row r="17" spans="2:27" ht="64.5" customHeight="1" x14ac:dyDescent="0.35">
      <c r="B17" s="149" t="s">
        <v>313</v>
      </c>
      <c r="C17" s="118" t="s">
        <v>152</v>
      </c>
    </row>
    <row r="18" spans="2:27" ht="81" x14ac:dyDescent="0.35">
      <c r="B18" s="149" t="s">
        <v>153</v>
      </c>
      <c r="C18" s="118" t="s">
        <v>153</v>
      </c>
    </row>
    <row r="19" spans="2:27" x14ac:dyDescent="0.35">
      <c r="B19" s="113"/>
      <c r="C19" s="113"/>
    </row>
    <row r="20" spans="2:27" x14ac:dyDescent="0.35">
      <c r="B20" s="182"/>
      <c r="C20" s="182"/>
      <c r="AA20" s="114"/>
    </row>
    <row r="21" spans="2:27" x14ac:dyDescent="0.35">
      <c r="B21" s="182"/>
      <c r="C21" s="182"/>
      <c r="AA21" s="114"/>
    </row>
    <row r="22" spans="2:27" x14ac:dyDescent="0.35">
      <c r="B22" s="182"/>
      <c r="C22" s="182"/>
    </row>
    <row r="23" spans="2:27" x14ac:dyDescent="0.35">
      <c r="B23" s="182"/>
      <c r="C23" s="182"/>
    </row>
    <row r="24" spans="2:27" x14ac:dyDescent="0.35">
      <c r="B24" s="182"/>
      <c r="C24" s="182"/>
    </row>
    <row r="25" spans="2:27" x14ac:dyDescent="0.35">
      <c r="B25" s="182"/>
      <c r="C25" s="182"/>
    </row>
    <row r="26" spans="2:27" x14ac:dyDescent="0.35">
      <c r="B26" s="182"/>
      <c r="C26" s="182"/>
    </row>
    <row r="27" spans="2:27" x14ac:dyDescent="0.35">
      <c r="B27" s="182"/>
      <c r="C27" s="182"/>
    </row>
    <row r="28" spans="2:27" x14ac:dyDescent="0.35">
      <c r="B28" s="182"/>
      <c r="C28" s="182"/>
    </row>
    <row r="29" spans="2:27" x14ac:dyDescent="0.35">
      <c r="B29" s="182"/>
      <c r="C29" s="182"/>
    </row>
    <row r="30" spans="2:27" x14ac:dyDescent="0.35">
      <c r="B30" s="182"/>
      <c r="C30" s="182"/>
    </row>
    <row r="31" spans="2:27" x14ac:dyDescent="0.35">
      <c r="B31" s="182"/>
      <c r="C31" s="182"/>
    </row>
    <row r="32" spans="2:27" x14ac:dyDescent="0.35">
      <c r="B32" s="113"/>
      <c r="C32" s="113"/>
    </row>
    <row r="54" spans="1:1" x14ac:dyDescent="0.35">
      <c r="A54" s="166"/>
    </row>
  </sheetData>
  <mergeCells count="4">
    <mergeCell ref="C1:C2"/>
    <mergeCell ref="C20:C31"/>
    <mergeCell ref="B1:B2"/>
    <mergeCell ref="B20:B31"/>
  </mergeCells>
  <conditionalFormatting sqref="A1:A54 A56:A1048576">
    <cfRule type="cellIs" dxfId="6" priority="1" operator="equal">
      <formula>"-"</formula>
    </cfRule>
  </conditionalFormatting>
  <conditionalFormatting sqref="D1:AC2 B1:C20 Z3:AA6 AB3:AC7 D6:V6">
    <cfRule type="cellIs" dxfId="5" priority="4" operator="equal">
      <formula>"-"</formula>
    </cfRule>
  </conditionalFormatting>
  <conditionalFormatting sqref="Z5:AC5">
    <cfRule type="cellIs" dxfId="4" priority="3" operator="equal">
      <formula>"-"</formula>
    </cfRule>
  </conditionalFormatting>
  <conditionalFormatting sqref="AD1:XFD1048576 D3:Y5 AA7 D7:W8 D9:V9 AA9 AB9:AC11 D10:AA11 D12:W13 D14:V14 D15:Y31 Z15:AC1048576 B32:Y1048576">
    <cfRule type="cellIs" dxfId="3" priority="5" operator="equal">
      <formula>"-"</formula>
    </cfRule>
  </conditionalFormatting>
  <hyperlinks>
    <hyperlink ref="B1:B2" location="Menu!A1" display="MENU" xr:uid="{F7742C5C-828A-4E81-A427-A0E76FC744DA}"/>
    <hyperlink ref="C1:C2" location="Menu!A1" display="MENU" xr:uid="{7E08D55E-8401-44F6-8A42-9FC3E703617D}"/>
  </hyperlink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4C97-B178-4D9C-AEEC-9F971BD6EA25}">
  <sheetPr>
    <tabColor rgb="FF00B050"/>
  </sheetPr>
  <dimension ref="A1:L54"/>
  <sheetViews>
    <sheetView showGridLines="0"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ColWidth="9.1796875" defaultRowHeight="16" outlineLevelCol="1" x14ac:dyDescent="0.35"/>
  <cols>
    <col min="1" max="1" width="1.6328125" style="164" customWidth="1"/>
    <col min="2" max="2" width="94.36328125" style="91" hidden="1" customWidth="1"/>
    <col min="3" max="3" width="100.7265625" style="91" customWidth="1" outlineLevel="1"/>
    <col min="4" max="9" width="17.6328125" style="91" customWidth="1"/>
    <col min="10" max="10" width="3.7265625" style="91" customWidth="1"/>
    <col min="11" max="12" width="17.6328125" style="91" customWidth="1"/>
    <col min="13" max="16384" width="9.1796875" style="91"/>
  </cols>
  <sheetData>
    <row r="1" spans="1:12" ht="16" customHeight="1" x14ac:dyDescent="0.35">
      <c r="B1" s="179" t="s">
        <v>15</v>
      </c>
      <c r="C1" s="180" t="s">
        <v>15</v>
      </c>
    </row>
    <row r="2" spans="1:12" ht="16" customHeight="1" x14ac:dyDescent="0.35">
      <c r="B2" s="179"/>
      <c r="C2" s="180"/>
    </row>
    <row r="3" spans="1:12" s="29" customFormat="1" ht="16" customHeight="1" x14ac:dyDescent="0.35">
      <c r="A3" s="164"/>
      <c r="B3" s="10" t="s">
        <v>121</v>
      </c>
      <c r="C3" s="10" t="s">
        <v>121</v>
      </c>
      <c r="D3" s="10" t="s">
        <v>336</v>
      </c>
      <c r="E3" s="10" t="s">
        <v>337</v>
      </c>
      <c r="F3" s="10" t="s">
        <v>338</v>
      </c>
      <c r="G3" s="10" t="s">
        <v>339</v>
      </c>
      <c r="H3" s="10" t="s">
        <v>340</v>
      </c>
      <c r="I3" s="10" t="s">
        <v>341</v>
      </c>
      <c r="K3" s="10">
        <v>2024</v>
      </c>
      <c r="L3" s="10">
        <v>2025</v>
      </c>
    </row>
    <row r="4" spans="1:12" ht="16" customHeight="1" x14ac:dyDescent="0.35">
      <c r="B4" s="89" t="s">
        <v>122</v>
      </c>
      <c r="C4" s="89" t="s">
        <v>122</v>
      </c>
      <c r="D4" s="92">
        <f>SUM(DRE!D27:G27)/AVERAGE(Balanço!E57:I57)</f>
        <v>0.44359734378535726</v>
      </c>
      <c r="E4" s="92">
        <f>SUM(DRE!E27:H27)/AVERAGE(Balanço!F57:J57)</f>
        <v>0.44975923706304977</v>
      </c>
      <c r="F4" s="92">
        <f>SUM(DRE!F27:I27)/AVERAGE(Balanço!G57:K57)</f>
        <v>0.4119289448926936</v>
      </c>
      <c r="G4" s="92">
        <f>SUM(DRE!G27:J27)/AVERAGE(Balanço!H57:L57)</f>
        <v>0.38877853081674096</v>
      </c>
      <c r="H4" s="92">
        <f>SUM(DRE!H27:K27)/AVERAGE(Balanço!I57:M57)</f>
        <v>0.35780499649569486</v>
      </c>
      <c r="I4" s="92">
        <f>SUM(DRE!I27:L27)/AVERAGE(Balanço!J57:N57)</f>
        <v>0.26086271666505984</v>
      </c>
      <c r="K4" s="92">
        <f>SUM(DRE!D27:G27)/AVERAGE(Balanço!E57:I57)</f>
        <v>0.44359734378535726</v>
      </c>
      <c r="L4" s="92">
        <f>SUM(DRE!H27:K27)/AVERAGE(Balanço!I57:M57)</f>
        <v>0.35780499649569486</v>
      </c>
    </row>
    <row r="5" spans="1:12" ht="16" customHeight="1" x14ac:dyDescent="0.3">
      <c r="A5" s="165"/>
      <c r="B5" s="89" t="s">
        <v>123</v>
      </c>
      <c r="C5" s="89" t="s">
        <v>123</v>
      </c>
      <c r="D5" s="92">
        <f>SUM(DRE!D27:G27)/AVERAGE(Balanço!E24:I24)</f>
        <v>3.300983787840759E-2</v>
      </c>
      <c r="E5" s="92">
        <f>SUM(DRE!E27:H27)/AVERAGE(Balanço!F24:J24)</f>
        <v>3.51960352488307E-2</v>
      </c>
      <c r="F5" s="92">
        <f>SUM(DRE!F27:I27)/AVERAGE(Balanço!G24:K24)</f>
        <v>3.2492076834581121E-2</v>
      </c>
      <c r="G5" s="92">
        <f>SUM(DRE!G27:J27)/AVERAGE(Balanço!H24:L24)</f>
        <v>2.9939851104175064E-2</v>
      </c>
      <c r="H5" s="92">
        <f>SUM(DRE!H27:K27)/AVERAGE(Balanço!I24:M24)</f>
        <v>2.7015137560723611E-2</v>
      </c>
      <c r="I5" s="92">
        <f>SUM(DRE!I27:L27)/AVERAGE(Balanço!J24:N24)</f>
        <v>2.044648650423055E-2</v>
      </c>
      <c r="K5" s="92">
        <f>SUM(DRE!D27:G27)/AVERAGE(Balanço!E24:I24)</f>
        <v>3.300983787840759E-2</v>
      </c>
      <c r="L5" s="92">
        <f>SUM(DRE!H27:K27)/AVERAGE(Balanço!I24:M24)</f>
        <v>2.7015137560723611E-2</v>
      </c>
    </row>
    <row r="6" spans="1:12" ht="16" customHeight="1" x14ac:dyDescent="0.35">
      <c r="B6" s="89" t="s">
        <v>233</v>
      </c>
      <c r="C6" s="89" t="s">
        <v>270</v>
      </c>
      <c r="D6" s="92">
        <f>(DRE!G27*4)/AVERAGE(Balanço!H57:I57)</f>
        <v>0.36143805799521789</v>
      </c>
      <c r="E6" s="92">
        <f>(DRE!H27*4)/AVERAGE(Balanço!I57:J57)</f>
        <v>0.53575739494786356</v>
      </c>
      <c r="F6" s="92">
        <f>(DRE!I27*4)/AVERAGE(Balanço!J57:K57)</f>
        <v>0.36621768271454991</v>
      </c>
      <c r="G6" s="92">
        <f>(DRE!J27*4)/AVERAGE(Balanço!K57:L57)</f>
        <v>0.27937597713062223</v>
      </c>
      <c r="H6" s="92">
        <f>(DRE!K27*4)/AVERAGE(Balanço!L57:M57)</f>
        <v>0.2701453292199042</v>
      </c>
      <c r="I6" s="92">
        <f>(DRE!L27*4)/AVERAGE(Balanço!M57:N57)</f>
        <v>0.18813769801496535</v>
      </c>
      <c r="K6" s="92">
        <f t="shared" ref="K6:K7" si="0">K4</f>
        <v>0.44359734378535726</v>
      </c>
      <c r="L6" s="92">
        <f>L4</f>
        <v>0.35780499649569486</v>
      </c>
    </row>
    <row r="7" spans="1:12" ht="16" customHeight="1" x14ac:dyDescent="0.35">
      <c r="B7" s="89" t="s">
        <v>234</v>
      </c>
      <c r="C7" s="89" t="s">
        <v>271</v>
      </c>
      <c r="D7" s="92">
        <f>(DRE!G27*4)/AVERAGE(Balanço!H24:I24)</f>
        <v>2.8452762619209055E-2</v>
      </c>
      <c r="E7" s="92">
        <f>(DRE!H27*4)/AVERAGE(Balanço!I24:J24)</f>
        <v>4.5509726216649414E-2</v>
      </c>
      <c r="F7" s="92">
        <f>(DRE!I27*4)/AVERAGE(Balanço!J24:K24)</f>
        <v>2.9599379438723979E-2</v>
      </c>
      <c r="G7" s="92">
        <f>(DRE!J27*4)/AVERAGE(Balanço!K24:L24)</f>
        <v>2.0213138786641098E-2</v>
      </c>
      <c r="H7" s="92">
        <f>(DRE!K27*4)/AVERAGE(Balanço!L24:M24)</f>
        <v>1.8561612046651889E-2</v>
      </c>
      <c r="I7" s="92">
        <f>(DRE!L27*4)/AVERAGE(Balanço!M24:N24)</f>
        <v>1.5234504668703764E-2</v>
      </c>
      <c r="K7" s="92">
        <f t="shared" si="0"/>
        <v>3.300983787840759E-2</v>
      </c>
      <c r="L7" s="92">
        <f>L5</f>
        <v>2.7015137560723611E-2</v>
      </c>
    </row>
    <row r="8" spans="1:12" ht="16" customHeight="1" x14ac:dyDescent="0.35">
      <c r="B8" s="89" t="s">
        <v>124</v>
      </c>
      <c r="C8" s="89" t="s">
        <v>267</v>
      </c>
      <c r="D8" s="94">
        <f>Balanço!I27</f>
        <v>28870.266</v>
      </c>
      <c r="E8" s="94">
        <f>Balanço!J27</f>
        <v>32257.351999999999</v>
      </c>
      <c r="F8" s="94">
        <f>Balanço!K27</f>
        <v>37253.24711815</v>
      </c>
      <c r="G8" s="94">
        <f>Balanço!L27</f>
        <v>43795.064582580002</v>
      </c>
      <c r="H8" s="94">
        <f>Balanço!M27</f>
        <v>47101.782999999996</v>
      </c>
      <c r="I8" s="94">
        <f>Balanço!N27</f>
        <v>49131.255999999994</v>
      </c>
      <c r="K8" s="94">
        <f>SUM(Balanço!I6:I7,Balanço!I8,Balanço!I10:I12)</f>
        <v>28870.266</v>
      </c>
      <c r="L8" s="94">
        <f>SUM(Balanço!M6:M7,Balanço!M8,Balanço!M10:M12)</f>
        <v>46441.010999999999</v>
      </c>
    </row>
    <row r="9" spans="1:12" ht="16" customHeight="1" x14ac:dyDescent="0.3">
      <c r="A9" s="165"/>
      <c r="B9" s="89" t="s">
        <v>235</v>
      </c>
      <c r="C9" s="89" t="s">
        <v>268</v>
      </c>
      <c r="D9" s="94">
        <f>Balanço!I28</f>
        <v>27477.546000000002</v>
      </c>
      <c r="E9" s="94">
        <f>Balanço!J28</f>
        <v>30759.650999999998</v>
      </c>
      <c r="F9" s="94">
        <f>Balanço!K28</f>
        <v>35750.525118149999</v>
      </c>
      <c r="G9" s="94">
        <f>Balanço!L28</f>
        <v>38303.62658258</v>
      </c>
      <c r="H9" s="94">
        <f>Balanço!M28</f>
        <v>41420.715999999993</v>
      </c>
      <c r="I9" s="94">
        <f>Balanço!N28</f>
        <v>43238.516999999993</v>
      </c>
      <c r="K9" s="94">
        <f>SUM(Balanço!I7:I7,Balanço!I9,Balanço!I11:I13)</f>
        <v>50995.043000000005</v>
      </c>
      <c r="L9" s="94">
        <f>SUM(Balanço!M7:M7,Balanço!M9,Balanço!M11:M13)</f>
        <v>82483.315999999992</v>
      </c>
    </row>
    <row r="10" spans="1:12" ht="16" customHeight="1" x14ac:dyDescent="0.3">
      <c r="A10" s="165"/>
      <c r="B10" s="89" t="s">
        <v>125</v>
      </c>
      <c r="C10" s="89" t="s">
        <v>266</v>
      </c>
      <c r="D10" s="92">
        <f>SUM(DRE!D10:G10)/AVERAGE(Balanço!E27:I27)</f>
        <v>0.16952270799941355</v>
      </c>
      <c r="E10" s="92">
        <f>SUM(DRE!E10:H10)/AVERAGE(Balanço!F27:J27)</f>
        <v>0.16112174697649442</v>
      </c>
      <c r="F10" s="92">
        <f>SUM(DRE!F10:I10)/AVERAGE(Balanço!G27:K27)</f>
        <v>0.15062491498413783</v>
      </c>
      <c r="G10" s="92">
        <f>SUM(DRE!G10:J10)/AVERAGE(Balanço!H27:L27)</f>
        <v>0.13786260716849719</v>
      </c>
      <c r="H10" s="92">
        <f>SUM(DRE!H10:K10)/AVERAGE(Balanço!I27:M27)</f>
        <v>0.12546466597231032</v>
      </c>
      <c r="I10" s="92">
        <f>SUM(DRE!I10:L10)/AVERAGE(Balanço!J27:N27)</f>
        <v>0.11594974907666722</v>
      </c>
      <c r="K10" s="92">
        <f>DRE!P10/AVERAGE(Balanço!E27:I27)</f>
        <v>0.16952270799941355</v>
      </c>
      <c r="L10" s="92">
        <f>DRE!Q10/AVERAGE(Balanço!I27:M27)</f>
        <v>0.12546466597231032</v>
      </c>
    </row>
    <row r="11" spans="1:12" ht="16" customHeight="1" x14ac:dyDescent="0.3">
      <c r="A11" s="165"/>
      <c r="B11" s="89" t="s">
        <v>126</v>
      </c>
      <c r="C11" s="89" t="s">
        <v>265</v>
      </c>
      <c r="D11" s="92">
        <f>SUM(DRE!D10:G10,DRE!D13:G13)/AVERAGE(Balanço!E27:I27)</f>
        <v>0.12131353858614359</v>
      </c>
      <c r="E11" s="92">
        <f>SUM(DRE!E10:H10,DRE!E13:H13)/AVERAGE(Balanço!F27:J27)</f>
        <v>0.11284528350651354</v>
      </c>
      <c r="F11" s="92">
        <f>SUM(DRE!F10:I10,DRE!F13:I13)/AVERAGE(Balanço!G27:K27)</f>
        <v>0.10285202049507423</v>
      </c>
      <c r="G11" s="92">
        <f>SUM(DRE!G10:J10,DRE!G13:J13)/AVERAGE(Balanço!H27:L27)</f>
        <v>9.2887255391474535E-2</v>
      </c>
      <c r="H11" s="92">
        <f>SUM(DRE!H10:K10,DRE!H13:K13)/AVERAGE(Balanço!I27:M27)</f>
        <v>8.0544110463255894E-2</v>
      </c>
      <c r="I11" s="92">
        <f>SUM(DRE!I10:L10,DRE!I13:L13)/AVERAGE(Balanço!J27:N27)</f>
        <v>7.2091049554576569E-2</v>
      </c>
      <c r="J11" s="148"/>
      <c r="K11" s="92">
        <f>SUM(DRE!P10,DRE!P13)/AVERAGE(Balanço!E27:I27)</f>
        <v>0.12131353858614359</v>
      </c>
      <c r="L11" s="92">
        <f>SUM(DRE!Q10,DRE!Q13)/AVERAGE(Balanço!I27:M27)</f>
        <v>8.0544110463255866E-2</v>
      </c>
    </row>
    <row r="12" spans="1:12" ht="16" customHeight="1" x14ac:dyDescent="0.3">
      <c r="A12" s="165"/>
      <c r="B12" s="89" t="s">
        <v>236</v>
      </c>
      <c r="C12" s="89" t="s">
        <v>264</v>
      </c>
      <c r="D12" s="92">
        <f>(DRE!G10*4)/AVERAGE(Balanço!H27:I27)</f>
        <v>0.16065124017649482</v>
      </c>
      <c r="E12" s="92">
        <f>(DRE!H10*4)/AVERAGE(Balanço!I27:J27)</f>
        <v>0.15166918495008264</v>
      </c>
      <c r="F12" s="92">
        <f>(DRE!I10*4)/AVERAGE(Balanço!J27:K27)</f>
        <v>0.13496509632745179</v>
      </c>
      <c r="G12" s="92">
        <f>(DRE!J10*4)/AVERAGE(Balanço!K27:L27)</f>
        <v>0.11823440485156571</v>
      </c>
      <c r="H12" s="92">
        <f>(DRE!K10*4)/AVERAGE(Balanço!L27:M27)</f>
        <v>0.10738419049364975</v>
      </c>
      <c r="I12" s="92">
        <f>(DRE!L10*4)/AVERAGE(Balanço!M27:N27)</f>
        <v>0.10545700422076459</v>
      </c>
      <c r="J12" s="148"/>
      <c r="K12" s="92">
        <f t="shared" ref="K12:K13" si="1">K10</f>
        <v>0.16952270799941355</v>
      </c>
      <c r="L12" s="92">
        <f>L10</f>
        <v>0.12546466597231032</v>
      </c>
    </row>
    <row r="13" spans="1:12" ht="16" customHeight="1" x14ac:dyDescent="0.3">
      <c r="A13" s="165"/>
      <c r="B13" s="89" t="s">
        <v>237</v>
      </c>
      <c r="C13" s="89" t="s">
        <v>263</v>
      </c>
      <c r="D13" s="92">
        <f>(SUM(DRE!G10,DRE!G13)*4)/AVERAGE(Balanço!H27:I27)</f>
        <v>0.10891683435133202</v>
      </c>
      <c r="E13" s="92">
        <f>(SUM(DRE!H10,DRE!H13)*4)/AVERAGE(Balanço!I27:J27)</f>
        <v>0.10436434804313824</v>
      </c>
      <c r="F13" s="92">
        <f>(SUM(DRE!I10,DRE!I13)*4)/AVERAGE(Balanço!J27:K27)</f>
        <v>9.4513366150006065E-2</v>
      </c>
      <c r="G13" s="92">
        <f>(SUM(DRE!J10,DRE!J13)*4)/AVERAGE(Balanço!K27:L27)</f>
        <v>7.450246367199298E-2</v>
      </c>
      <c r="H13" s="92">
        <f>(SUM(DRE!K10,DRE!K13)*4)/AVERAGE(Balanço!L27:M27)</f>
        <v>5.9460856342347178E-2</v>
      </c>
      <c r="I13" s="92">
        <f>(SUM(DRE!L10,DRE!L13)*4)/AVERAGE(Balanço!M27:N27)</f>
        <v>6.3975949050097056E-2</v>
      </c>
      <c r="J13" s="148"/>
      <c r="K13" s="92">
        <f t="shared" si="1"/>
        <v>0.12131353858614359</v>
      </c>
      <c r="L13" s="92">
        <f>L11</f>
        <v>8.0544110463255866E-2</v>
      </c>
    </row>
    <row r="14" spans="1:12" s="95" customFormat="1" ht="16" customHeight="1" x14ac:dyDescent="0.35">
      <c r="A14" s="164"/>
      <c r="B14" s="147" t="s">
        <v>127</v>
      </c>
      <c r="C14" s="147" t="s">
        <v>261</v>
      </c>
      <c r="D14" s="146">
        <f>SUM(DRE!D10:G10)/AVERAGE(Balanço!E28:I28)</f>
        <v>0.17723873223152789</v>
      </c>
      <c r="E14" s="146">
        <f>SUM(DRE!E10:H10)/AVERAGE(Balanço!F28:J28)</f>
        <v>0.16872280217293065</v>
      </c>
      <c r="F14" s="146">
        <f>SUM(DRE!F10:I10)/AVERAGE(Balanço!G28:K28)</f>
        <v>0.15774115361978619</v>
      </c>
      <c r="G14" s="146">
        <f>SUM(DRE!G10:J10)/AVERAGE(Balanço!H28:L28)</f>
        <v>0.14760639816868315</v>
      </c>
      <c r="H14" s="146">
        <f>SUM(DRE!H10:K10)/AVERAGE(Balanço!I28:M28)</f>
        <v>0.13670705624800633</v>
      </c>
      <c r="I14" s="146">
        <f>SUM(DRE!I10:L10)/AVERAGE(Balanço!J28:N28)</f>
        <v>0.12822911666636905</v>
      </c>
      <c r="J14" s="145"/>
      <c r="K14" s="146">
        <f>DRE!P10/AVERAGE(Balanço!E28:I28)</f>
        <v>0.17723873223152789</v>
      </c>
      <c r="L14" s="146">
        <f>DRE!Q10/AVERAGE(Balanço!I28:M28)</f>
        <v>0.1367070562480063</v>
      </c>
    </row>
    <row r="15" spans="1:12" s="95" customFormat="1" ht="16" customHeight="1" x14ac:dyDescent="0.35">
      <c r="A15" s="166"/>
      <c r="B15" s="147" t="s">
        <v>128</v>
      </c>
      <c r="C15" s="147" t="s">
        <v>262</v>
      </c>
      <c r="D15" s="146">
        <f>SUM(DRE!D10:G10,DRE!D13:G13)/AVERAGE(Balanço!E28:I28)</f>
        <v>0.12683526611433682</v>
      </c>
      <c r="E15" s="146">
        <f>SUM(DRE!E10:H10,DRE!E13:H13)/AVERAGE(Balanço!F28:J28)</f>
        <v>0.11816885555489529</v>
      </c>
      <c r="F15" s="146">
        <f>SUM(DRE!F10:I10,DRE!F13:I13)/AVERAGE(Balanço!G28:K28)</f>
        <v>0.10771123998129684</v>
      </c>
      <c r="G15" s="146">
        <f>SUM(DRE!G10:J10,DRE!G13:J13)/AVERAGE(Balanço!H28:L28)</f>
        <v>9.9452298819162177E-2</v>
      </c>
      <c r="H15" s="146">
        <f>SUM(DRE!H10:K10,DRE!H13:K13)/AVERAGE(Balanço!I28:M28)</f>
        <v>8.7761348218756988E-2</v>
      </c>
      <c r="I15" s="146">
        <f>SUM(DRE!I10:L10,DRE!I13:L13)/AVERAGE(Balanço!J28:N28)</f>
        <v>7.9725671487416896E-2</v>
      </c>
      <c r="J15" s="145"/>
      <c r="K15" s="146">
        <f>SUM(DRE!P10,DRE!P13)/AVERAGE(Balanço!E28:I28)</f>
        <v>0.12683526611433682</v>
      </c>
      <c r="L15" s="146">
        <f>SUM(DRE!Q10,DRE!Q13)/AVERAGE(Balanço!I28:M28)</f>
        <v>8.776134821875696E-2</v>
      </c>
    </row>
    <row r="16" spans="1:12" s="95" customFormat="1" ht="16" customHeight="1" x14ac:dyDescent="0.35">
      <c r="A16" s="164"/>
      <c r="B16" s="147" t="s">
        <v>238</v>
      </c>
      <c r="C16" s="147" t="s">
        <v>260</v>
      </c>
      <c r="D16" s="146">
        <f>(DRE!G10*4)/AVERAGE(Balanço!H28:I28)</f>
        <v>0.16862752219193664</v>
      </c>
      <c r="E16" s="146">
        <f>(DRE!H10*4)/AVERAGE(Balanço!I28:J28)</f>
        <v>0.15919681024483376</v>
      </c>
      <c r="F16" s="146">
        <f>(DRE!I10*4)/AVERAGE(Balanço!J28:K28)</f>
        <v>0.14105367408882677</v>
      </c>
      <c r="G16" s="146">
        <f>(DRE!J10*4)/AVERAGE(Balanço!K28:L28)</f>
        <v>0.12940123785207761</v>
      </c>
      <c r="H16" s="146">
        <f>(DRE!K10*4)/AVERAGE(Balanço!L28:M28)</f>
        <v>0.12243292424731514</v>
      </c>
      <c r="I16" s="146">
        <f>(DRE!L10*4)/AVERAGE(Balanço!M28:N28)</f>
        <v>0.11987408390529601</v>
      </c>
      <c r="J16" s="145"/>
      <c r="K16" s="146">
        <f>K14</f>
        <v>0.17723873223152789</v>
      </c>
      <c r="L16" s="146">
        <f>L14</f>
        <v>0.1367070562480063</v>
      </c>
    </row>
    <row r="17" spans="1:12" s="95" customFormat="1" ht="16" customHeight="1" x14ac:dyDescent="0.35">
      <c r="A17" s="164"/>
      <c r="B17" s="147" t="s">
        <v>239</v>
      </c>
      <c r="C17" s="147" t="s">
        <v>259</v>
      </c>
      <c r="D17" s="146">
        <f>(SUM(DRE!G10,DRE!G13)*4)/AVERAGE(Balanço!H28:I28)</f>
        <v>0.11432451988218108</v>
      </c>
      <c r="E17" s="146">
        <f>(SUM(DRE!H10,DRE!H13)*4)/AVERAGE(Balanço!I28:J28)</f>
        <v>0.10954414581457281</v>
      </c>
      <c r="F17" s="146">
        <f>(SUM(DRE!I10,DRE!I13)*4)/AVERAGE(Balanço!J28:K28)</f>
        <v>9.8777075767916903E-2</v>
      </c>
      <c r="G17" s="146">
        <f>(SUM(DRE!J10,DRE!J13)*4)/AVERAGE(Balanço!K28:L28)</f>
        <v>8.1538965196200852E-2</v>
      </c>
      <c r="H17" s="146">
        <f>(SUM(DRE!K10,DRE!K13)*4)/AVERAGE(Balanço!L28:M28)</f>
        <v>6.7793652741402255E-2</v>
      </c>
      <c r="I17" s="146">
        <f>(SUM(DRE!L10,DRE!L13)*4)/AVERAGE(Balanço!M28:N28)</f>
        <v>7.2722132977510012E-2</v>
      </c>
      <c r="J17" s="145"/>
      <c r="K17" s="146">
        <f>K15</f>
        <v>0.12683526611433682</v>
      </c>
      <c r="L17" s="146">
        <f>L15</f>
        <v>8.776134821875696E-2</v>
      </c>
    </row>
    <row r="18" spans="1:12" ht="16" customHeight="1" x14ac:dyDescent="0.35">
      <c r="B18" s="144" t="s">
        <v>129</v>
      </c>
      <c r="C18" s="90" t="s">
        <v>258</v>
      </c>
      <c r="D18" s="143">
        <f>-SUM(DRE!G14,DRE!G15,DRE!G17,DRE!G21)/SUM(DRE!G16,DRE!G12)</f>
        <v>0.47749200450635443</v>
      </c>
      <c r="E18" s="143">
        <f>-SUM(DRE!H14,DRE!H15,DRE!H17,DRE!H21)/SUM(DRE!H16,DRE!H12)</f>
        <v>0.34199717845375643</v>
      </c>
      <c r="F18" s="143">
        <f>-SUM(DRE!I14,DRE!I15,DRE!I17,DRE!I21)/SUM(DRE!I16,DRE!I12)</f>
        <v>0.42944865173449098</v>
      </c>
      <c r="G18" s="143">
        <f>-SUM(DRE!J14,DRE!J15,DRE!J17,DRE!J21)/SUM(DRE!J16,DRE!J12)</f>
        <v>0.4761276064198437</v>
      </c>
      <c r="H18" s="143">
        <f>-SUM(DRE!K14,DRE!K15,DRE!K17,DRE!K21)/SUM(DRE!K16,DRE!K12)</f>
        <v>0.38002492278738131</v>
      </c>
      <c r="I18" s="143">
        <f>-SUM(DRE!L14,DRE!L15,DRE!L17,DRE!L21)/SUM(DRE!L16,DRE!L12)</f>
        <v>0.43169703351944205</v>
      </c>
      <c r="J18" s="148"/>
      <c r="K18" s="143">
        <f>-SUM(DRE!P14,DRE!P15,DRE!P17,DRE!P21)/SUM(DRE!P16,DRE!P12)</f>
        <v>0.46457104976835051</v>
      </c>
      <c r="L18" s="143">
        <f>-SUM(DRE!Q14,DRE!Q15,DRE!Q17,DRE!Q21)/SUM(DRE!Q16,DRE!Q12)</f>
        <v>0.40610946169380374</v>
      </c>
    </row>
    <row r="19" spans="1:12" ht="16" customHeight="1" x14ac:dyDescent="0.35">
      <c r="B19" s="90" t="s">
        <v>130</v>
      </c>
      <c r="C19" s="90" t="s">
        <v>257</v>
      </c>
      <c r="D19" s="42">
        <f>-SUM(DRE!D14:G15,DRE!D17:G17,DRE!D21:G21)/SUM(DRE!D12:G12,DRE!D16:G16)</f>
        <v>0.46457104976835045</v>
      </c>
      <c r="E19" s="42">
        <f>-SUM(DRE!E14:H15,DRE!E17:H17,DRE!E21:H21)/SUM(DRE!E12:H12,DRE!E16:H16)</f>
        <v>0.43508029022368511</v>
      </c>
      <c r="F19" s="42">
        <f>-SUM(DRE!F14:I15,DRE!F17:I17,DRE!F21:I21)/SUM(DRE!F12:I12,DRE!F16:I16)</f>
        <v>0.42503181474008428</v>
      </c>
      <c r="G19" s="42">
        <f>-SUM(DRE!G14:J15,DRE!G17:J17,DRE!G21:J21)/SUM(DRE!G12:J12,DRE!G16:J16)</f>
        <v>0.42915585486819446</v>
      </c>
      <c r="H19" s="42">
        <f>-SUM(DRE!H14:K15,DRE!H17:K17,DRE!H21:K21)/SUM(DRE!H12:K12,DRE!H16:K16)</f>
        <v>0.40609792533197331</v>
      </c>
      <c r="I19" s="42">
        <f>-SUM(DRE!I14:L15,DRE!I17:L17,DRE!I21:L21)/SUM(DRE!I12:L12,DRE!I16:L16)</f>
        <v>0.42933951593451414</v>
      </c>
      <c r="K19" s="42">
        <f>K18</f>
        <v>0.46457104976835051</v>
      </c>
      <c r="L19" s="42">
        <f>L18</f>
        <v>0.40610946169380374</v>
      </c>
    </row>
    <row r="20" spans="1:12" ht="16" customHeight="1" x14ac:dyDescent="0.35">
      <c r="B20" s="90" t="s">
        <v>131</v>
      </c>
      <c r="C20" s="90" t="s">
        <v>256</v>
      </c>
      <c r="D20" s="42">
        <f>-SUM(DRE!G14,DRE!G43,DRE!G17,DRE!G21)/SUM(DRE!G16,DRE!G12)</f>
        <v>0.47749200450635443</v>
      </c>
      <c r="E20" s="42">
        <f>-SUM(DRE!H14,DRE!H43,DRE!H17,DRE!H21)/SUM(DRE!H16,DRE!H12)</f>
        <v>0.34199717845375643</v>
      </c>
      <c r="F20" s="42">
        <f>-SUM(DRE!I14,DRE!I43,DRE!I17,DRE!I21)/SUM(DRE!I16,DRE!I12)</f>
        <v>0.42944865173449098</v>
      </c>
      <c r="G20" s="42">
        <f>-SUM(DRE!J14,DRE!J43,DRE!J17,DRE!J21)/SUM(DRE!J16,DRE!J12)</f>
        <v>0.4761276064198437</v>
      </c>
      <c r="H20" s="42">
        <f>-SUM(DRE!K14,DRE!K43,DRE!K17,DRE!K21)/SUM(DRE!K16,DRE!K12)</f>
        <v>0.45654763316489488</v>
      </c>
      <c r="I20" s="42">
        <f>-SUM(DRE!L14,DRE!L43,DRE!L17,DRE!L21)/SUM(DRE!L16,DRE!L12)</f>
        <v>0.43169703351944205</v>
      </c>
      <c r="K20" s="42">
        <f>-SUM(DRE!P14,DRE!P43,DRE!P17,DRE!P21)/SUM(DRE!P16,DRE!P12)</f>
        <v>0.46457104976835051</v>
      </c>
      <c r="L20" s="42">
        <f>-SUM(DRE!Q14,DRE!Q43,DRE!Q17,DRE!Q21)/SUM(DRE!Q16,DRE!Q12)</f>
        <v>0.4249971548105454</v>
      </c>
    </row>
    <row r="21" spans="1:12" ht="16" customHeight="1" x14ac:dyDescent="0.35">
      <c r="B21" s="90" t="s">
        <v>132</v>
      </c>
      <c r="C21" s="90" t="s">
        <v>255</v>
      </c>
      <c r="D21" s="42">
        <f>-SUM(DRE!D14:G14,DRE!D43:G43,DRE!D17:G17,DRE!D21:G21)/SUM(DRE!D12:G12,DRE!D16:G16)</f>
        <v>0.46457104976835045</v>
      </c>
      <c r="E21" s="42">
        <f>-SUM(DRE!E14:H14,DRE!E43:H43,DRE!E17:H17,DRE!E21:H21)/SUM(DRE!E12:H12,DRE!E16:H16)</f>
        <v>0.43508029022368511</v>
      </c>
      <c r="F21" s="42">
        <f>-SUM(DRE!F14:I14,DRE!F43:I43,DRE!F17:I17,DRE!F21:I21)/SUM(DRE!F12:I12,DRE!F16:I16)</f>
        <v>0.42503181474008428</v>
      </c>
      <c r="G21" s="42">
        <f>-SUM(DRE!G14:J14,DRE!G43:J43,DRE!G17:J17,DRE!G21:J21)/SUM(DRE!G12:J12,DRE!G16:J16)</f>
        <v>0.42915585486819446</v>
      </c>
      <c r="H21" s="42">
        <f>-SUM(DRE!H14:K14,DRE!H43:K43,DRE!H17:K17,DRE!H21:K21)/SUM(DRE!H12:K12,DRE!H16:K16)</f>
        <v>0.42498561844871507</v>
      </c>
      <c r="I21" s="42">
        <f>-SUM(DRE!I14:L14,DRE!I43:L43,DRE!I17:L17,DRE!I21:L21)/SUM(DRE!I12:L12,DRE!I16:L16)</f>
        <v>0.44848440894632635</v>
      </c>
      <c r="K21" s="42">
        <f>K20</f>
        <v>0.46457104976835051</v>
      </c>
      <c r="L21" s="42">
        <f>L20</f>
        <v>0.4249971548105454</v>
      </c>
    </row>
    <row r="22" spans="1:12" ht="16" customHeight="1" x14ac:dyDescent="0.35">
      <c r="B22" s="89" t="s">
        <v>133</v>
      </c>
      <c r="C22" s="89" t="s">
        <v>247</v>
      </c>
      <c r="D22" s="96">
        <f>SUM(DRE!G5,DRE!G9,DRE!G11)</f>
        <v>2137.252</v>
      </c>
      <c r="E22" s="96">
        <f>SUM(DRE!H5,DRE!H9,DRE!H11)</f>
        <v>2424.8780000000002</v>
      </c>
      <c r="F22" s="96">
        <f>SUM(DRE!I5,DRE!I9,DRE!I11)</f>
        <v>2510.5285849000002</v>
      </c>
      <c r="G22" s="96">
        <f>SUM(DRE!J5,DRE!J9,DRE!J11)</f>
        <v>2800.3788071000004</v>
      </c>
      <c r="H22" s="96">
        <f>SUM(DRE!K5,DRE!K9,DRE!K11)</f>
        <v>2958.4546080000009</v>
      </c>
      <c r="I22" s="96">
        <f>SUM(DRE!L5,DRE!L9,DRE!L11)</f>
        <v>2996.5820000000003</v>
      </c>
      <c r="K22" s="96">
        <f>SUM(DRE!P5,DRE!P9,DRE!P11)</f>
        <v>7284.3609999999999</v>
      </c>
      <c r="L22" s="96">
        <f>SUM(DRE!Q5,DRE!Q9,DRE!Q11)</f>
        <v>10694.24</v>
      </c>
    </row>
    <row r="23" spans="1:12" ht="16" customHeight="1" x14ac:dyDescent="0.35">
      <c r="B23" s="89" t="s">
        <v>134</v>
      </c>
      <c r="C23" s="89" t="s">
        <v>248</v>
      </c>
      <c r="D23" s="97">
        <f>SUM(DRE!G4*1000000)/AVERAGE(Operacionais!T6:X6)</f>
        <v>658.99104056692317</v>
      </c>
      <c r="E23" s="97">
        <f>SUM(DRE!H4*1000000)/AVERAGE(Operacionais!U6:Y6)</f>
        <v>666.49940583742125</v>
      </c>
      <c r="F23" s="97">
        <f>SUM(DRE!I4*1000000)/AVERAGE(Operacionais!V6:Z6)</f>
        <v>601.14238617837941</v>
      </c>
      <c r="G23" s="97">
        <f>SUM(DRE!J4*1000000)/AVERAGE(Operacionais!W6:AA6)</f>
        <v>581.56993485387216</v>
      </c>
      <c r="H23" s="97">
        <f>SUM(DRE!K4*1000000)/AVERAGE(Operacionais!X6:AB6)</f>
        <v>544.12625556048204</v>
      </c>
      <c r="I23" s="97">
        <f>SUM(DRE!L4*1000000)/AVERAGE(Operacionais!Y6:AC6)</f>
        <v>493.31667620896491</v>
      </c>
      <c r="J23" s="97"/>
      <c r="K23" s="97">
        <f>(K22*1000000)/AVERAGE(Operacionais!T6:X6)</f>
        <v>2246.0283744055982</v>
      </c>
      <c r="L23" s="97">
        <f>(L22*1000000)/AVERAGE(Operacionais!X6:AB6)</f>
        <v>1966.9109512546988</v>
      </c>
    </row>
    <row r="24" spans="1:12" ht="16" customHeight="1" x14ac:dyDescent="0.35">
      <c r="B24" s="89" t="s">
        <v>135</v>
      </c>
      <c r="C24" s="89" t="s">
        <v>254</v>
      </c>
      <c r="D24" s="92">
        <f>DRE!G27/D22</f>
        <v>9.2049042415213597E-2</v>
      </c>
      <c r="E24" s="92">
        <f>DRE!H27/E22</f>
        <v>0.1470053338765909</v>
      </c>
      <c r="F24" s="92">
        <f>DRE!I27/F22</f>
        <v>0.10548535539201935</v>
      </c>
      <c r="G24" s="92">
        <f>DRE!J27/G22</f>
        <v>7.5154118245148144E-2</v>
      </c>
      <c r="H24" s="92">
        <f>DRE!K27/H22</f>
        <v>7.2645359985865382E-2</v>
      </c>
      <c r="I24" s="92">
        <f>DRE!L27/I22</f>
        <v>6.2249255985653104E-2</v>
      </c>
      <c r="K24" s="92">
        <f>DRE!P27/K22</f>
        <v>0.10904951031394515</v>
      </c>
      <c r="L24" s="92">
        <f>DRE!Q27/L22</f>
        <v>9.7866982599979058E-2</v>
      </c>
    </row>
    <row r="25" spans="1:12" ht="16" customHeight="1" x14ac:dyDescent="0.35">
      <c r="B25" s="89" t="s">
        <v>136</v>
      </c>
      <c r="C25" s="89" t="s">
        <v>253</v>
      </c>
      <c r="D25" s="92">
        <f>SUM(DRE!G24:G25)/DRE!G23</f>
        <v>-0.18948270463571784</v>
      </c>
      <c r="E25" s="92">
        <f>SUM(DRE!H24:H25)/DRE!H23</f>
        <v>-0.30332186111778858</v>
      </c>
      <c r="F25" s="92">
        <f>SUM(DRE!I24:I25)/DRE!I23</f>
        <v>-0.28018178655301385</v>
      </c>
      <c r="G25" s="92">
        <f>SUM(DRE!J24:J25)/DRE!J23</f>
        <v>-3.9889783033156267E-2</v>
      </c>
      <c r="H25" s="92">
        <f>SUM(DRE!K24:K25)/DRE!K23</f>
        <v>-9.7366243736900601E-2</v>
      </c>
      <c r="I25" s="92">
        <f>SUM(DRE!L24:L25)/DRE!L23</f>
        <v>-0.13669980376911378</v>
      </c>
      <c r="K25" s="92">
        <f>SUM(DRE!P24:P25)/DRE!P23</f>
        <v>-0.23693793821583062</v>
      </c>
      <c r="L25" s="92">
        <f>SUM(DRE!Q24:Q25)/DRE!Q23</f>
        <v>-0.21708815166727627</v>
      </c>
    </row>
    <row r="26" spans="1:12" ht="16" customHeight="1" x14ac:dyDescent="0.35">
      <c r="B26" s="89" t="s">
        <v>137</v>
      </c>
      <c r="C26" s="89" t="s">
        <v>252</v>
      </c>
      <c r="D26" s="98">
        <f>Balanço!I27/Balanço!I57</f>
        <v>11.65668139316853</v>
      </c>
      <c r="E26" s="98">
        <f>Balanço!J27/Balanço!J57</f>
        <v>11.333707406830928</v>
      </c>
      <c r="F26" s="98">
        <f>Balanço!K27/Balanço!K57</f>
        <v>12.675833229207747</v>
      </c>
      <c r="G26" s="98">
        <f>Balanço!L27/Balanço!L57</f>
        <v>14.18392423459875</v>
      </c>
      <c r="H26" s="98">
        <f>Balanço!M27/Balanço!M57</f>
        <v>14.374060228389373</v>
      </c>
      <c r="I26" s="98">
        <f>Balanço!N27/Balanço!N57</f>
        <v>10.554535240677207</v>
      </c>
      <c r="J26" s="99"/>
      <c r="K26" s="100">
        <f>Balanço!I24/Balanço!I57</f>
        <v>11.916983955353746</v>
      </c>
      <c r="L26" s="98">
        <f>Balanço!M24/Balanço!M57</f>
        <v>14.575103605280667</v>
      </c>
    </row>
    <row r="27" spans="1:12" ht="16" customHeight="1" x14ac:dyDescent="0.35">
      <c r="B27" s="89" t="s">
        <v>138</v>
      </c>
      <c r="C27" s="89" t="s">
        <v>189</v>
      </c>
      <c r="D27" s="92">
        <f>DRE!G13/AVERAGE('Carteira de Crédito'!H13:I13)</f>
        <v>-1.5119301630011366E-2</v>
      </c>
      <c r="E27" s="92">
        <f>DRE!H13/AVERAGE('Carteira de Crédito'!I13:J13)</f>
        <v>-1.4047086148591481E-2</v>
      </c>
      <c r="F27" s="92">
        <f>DRE!I13/AVERAGE('Carteira de Crédito'!J13:K13)</f>
        <v>-1.215367765191642E-2</v>
      </c>
      <c r="G27" s="92">
        <f>DRE!J13/AVERAGE('Carteira de Crédito'!K13:L13)</f>
        <v>-1.3619580823552345E-2</v>
      </c>
      <c r="H27" s="92">
        <f>DRE!K13/AVERAGE('Carteira de Crédito'!L13:M13)</f>
        <v>-1.5710856805373083E-2</v>
      </c>
      <c r="I27" s="92">
        <f>DRE!L13/AVERAGE('Carteira de Crédito'!M13:N13)</f>
        <v>-1.4184954632971669E-2</v>
      </c>
      <c r="K27" s="92">
        <f>DRE!Q13/AVERAGE(Balanço!H12:L12)</f>
        <v>-6.1257125177379024E-2</v>
      </c>
      <c r="L27" s="92">
        <f>DRE!Q41/AVERAGE(Balanço!I12:M12)</f>
        <v>-5.6166787917696498E-2</v>
      </c>
    </row>
    <row r="28" spans="1:12" ht="16" customHeight="1" x14ac:dyDescent="0.35">
      <c r="B28" s="89" t="s">
        <v>240</v>
      </c>
      <c r="C28" s="89" t="s">
        <v>251</v>
      </c>
      <c r="D28" s="92">
        <f>(DRE!G13*4)/AVERAGE('Carteira de Crédito'!H13:I13)</f>
        <v>-6.0477206520045464E-2</v>
      </c>
      <c r="E28" s="92">
        <f>(DRE!H13*4)/AVERAGE('Carteira de Crédito'!I13:J13)</f>
        <v>-5.6188344594365926E-2</v>
      </c>
      <c r="F28" s="92">
        <f>(DRE!I13*4)/AVERAGE('Carteira de Crédito'!J13:K13)</f>
        <v>-4.861471060766568E-2</v>
      </c>
      <c r="G28" s="92">
        <f>(DRE!J13*4)/AVERAGE('Carteira de Crédito'!K13:L13)</f>
        <v>-5.4478323294209381E-2</v>
      </c>
      <c r="H28" s="92">
        <f>(DRE!K13*4)/AVERAGE('Carteira de Crédito'!L13:M13)</f>
        <v>-6.2843427221492332E-2</v>
      </c>
      <c r="I28" s="92">
        <f>(DRE!L13*4)/AVERAGE('Carteira de Crédito'!M13:N13)</f>
        <v>-5.6739818531886678E-2</v>
      </c>
      <c r="K28" s="92">
        <f>K27</f>
        <v>-6.1257125177379024E-2</v>
      </c>
      <c r="L28" s="92">
        <f>L27</f>
        <v>-5.6166787917696498E-2</v>
      </c>
    </row>
    <row r="29" spans="1:12" ht="16" customHeight="1" x14ac:dyDescent="0.35">
      <c r="B29" s="89" t="s">
        <v>139</v>
      </c>
      <c r="C29" s="89" t="s">
        <v>250</v>
      </c>
      <c r="D29" s="92">
        <f>SUM(DRE!D13:G13)/AVERAGE('Carteira de Crédito'!H13:I13)</f>
        <v>-4.8990849920720864E-2</v>
      </c>
      <c r="E29" s="92">
        <f>SUM(DRE!E13:H13)/AVERAGE('Carteira de Crédito'!I13:J13)</f>
        <v>-4.9083772745676178E-2</v>
      </c>
      <c r="F29" s="92">
        <f>SUM(DRE!F13:I13)/AVERAGE('Carteira de Crédito'!J13:K13)</f>
        <v>-4.8547212844572286E-2</v>
      </c>
      <c r="G29" s="92">
        <f>SUM(DRE!G13:J13)/AVERAGE('Carteira de Crédito'!K13:L13)</f>
        <v>-4.6290958623442457E-2</v>
      </c>
      <c r="H29" s="92">
        <f>SUM(DRE!H13:K13)/AVERAGE('Carteira de Crédito'!L13:M13)</f>
        <v>-4.9064638501923719E-2</v>
      </c>
      <c r="I29" s="92">
        <f>SUM(DRE!I13:L13)/AVERAGE('Carteira de Crédito'!M13:N13)</f>
        <v>-5.2250919633292564E-2</v>
      </c>
      <c r="K29" s="92">
        <f>K27</f>
        <v>-6.1257125177379024E-2</v>
      </c>
      <c r="L29" s="92">
        <f>L27</f>
        <v>-5.6166787917696498E-2</v>
      </c>
    </row>
    <row r="30" spans="1:12" ht="16" customHeight="1" x14ac:dyDescent="0.35">
      <c r="B30" s="89" t="s">
        <v>140</v>
      </c>
      <c r="C30" s="89" t="s">
        <v>249</v>
      </c>
      <c r="D30" s="101">
        <f>SUM(DRE!G4*1000000)/AVERAGE(Operacionais!T9:Y9)</f>
        <v>483267.83493499149</v>
      </c>
      <c r="E30" s="101">
        <f>SUM(DRE!H4*1000000)/AVERAGE(Operacionais!U9:Z9)</f>
        <v>530047.2876971839</v>
      </c>
      <c r="F30" s="101">
        <f>SUM(DRE!I4*1000000)/AVERAGE(Operacionais!V9:AA9)</f>
        <v>532399.23335807445</v>
      </c>
      <c r="G30" s="101">
        <f>SUM(DRE!J4*1000000)/AVERAGE(Operacionais!W9:AB9)</f>
        <v>578710.23085348215</v>
      </c>
      <c r="H30" s="101">
        <f>SUM(DRE!K4*1000000)/AVERAGE(Operacionais!X9:AC9)</f>
        <v>602454.78034211253</v>
      </c>
      <c r="I30" s="101">
        <f>SUM(DRE!L4*1000000)/AVERAGE(Operacionais!Y9:AC9)</f>
        <v>605027.86302697472</v>
      </c>
      <c r="K30" s="97">
        <f>K22/AVERAGE(Operacionais!T9:X9)*1000000</f>
        <v>1665072.917619091</v>
      </c>
      <c r="L30" s="97">
        <f>L22/AVERAGE(Operacionais!X9:AB9)*1000000</f>
        <v>2186603.4186636135</v>
      </c>
    </row>
    <row r="31" spans="1:12" x14ac:dyDescent="0.35">
      <c r="B31" s="89"/>
      <c r="C31" s="89"/>
      <c r="D31" s="92"/>
      <c r="E31" s="92"/>
      <c r="F31" s="92"/>
      <c r="G31" s="92"/>
      <c r="H31" s="92"/>
      <c r="I31" s="92"/>
      <c r="K31" s="92"/>
      <c r="L31" s="92"/>
    </row>
    <row r="54" spans="1:1" x14ac:dyDescent="0.35">
      <c r="A54" s="166"/>
    </row>
  </sheetData>
  <mergeCells count="2">
    <mergeCell ref="B1:B2"/>
    <mergeCell ref="C1:C2"/>
  </mergeCells>
  <conditionalFormatting sqref="A1:A54 A56:A1048576">
    <cfRule type="cellIs" dxfId="2" priority="1" operator="equal">
      <formula>"-"</formula>
    </cfRule>
  </conditionalFormatting>
  <conditionalFormatting sqref="B1:J9 K1:XFD31 B32:XFD1048576">
    <cfRule type="cellIs" dxfId="1" priority="2" operator="equal">
      <formula>"-"</formula>
    </cfRule>
  </conditionalFormatting>
  <conditionalFormatting sqref="J10 B10:I31 J18:J31">
    <cfRule type="cellIs" dxfId="0" priority="3" operator="equal">
      <formula>"-"</formula>
    </cfRule>
  </conditionalFormatting>
  <hyperlinks>
    <hyperlink ref="B1:B2" location="Menu!A1" display="MENU" xr:uid="{81400038-AE91-4D8F-8539-C4E5AA10370F}"/>
    <hyperlink ref="C1:C2" location="Menu!A1" display="MENU" xr:uid="{7A3360FB-735E-48C7-B6F0-87728B4DAE51}"/>
  </hyperlinks>
  <pageMargins left="0.511811024" right="0.511811024" top="0.78740157499999996" bottom="0.78740157499999996" header="0.31496062000000002" footer="0.31496062000000002"/>
</worksheet>
</file>

<file path=docMetadata/LabelInfo.xml><?xml version="1.0" encoding="utf-8"?>
<clbl:labelList xmlns:clbl="http://schemas.microsoft.com/office/2020/mipLabelMetadata">
  <clbl:label id="{e65a39d0-063a-4431-b80f-dbb0ad2f6df3}" enabled="1" method="Privileged" siteId="{80523cc1-a4a7-4cfd-9624-859fc5fbaac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Menu</vt:lpstr>
      <vt:lpstr>Balanço</vt:lpstr>
      <vt:lpstr>DRE</vt:lpstr>
      <vt:lpstr>Carteira de Crédito</vt:lpstr>
      <vt:lpstr>Funding</vt:lpstr>
      <vt:lpstr>Operacionais</vt:lpstr>
      <vt:lpstr>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Cassiano de Mattia Tramontin</dc:creator>
  <cp:lastModifiedBy>Joao Pedro Homem de Melo Chiantia</cp:lastModifiedBy>
  <dcterms:created xsi:type="dcterms:W3CDTF">2026-05-05T19:37:18Z</dcterms:created>
  <dcterms:modified xsi:type="dcterms:W3CDTF">2026-06-12T18:04:56Z</dcterms:modified>
</cp:coreProperties>
</file>