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comments1.xml" ContentType="application/vnd.openxmlformats-officedocument.spreadsheetml.comments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backupFile="1" codeName="EstaPasta_de_trabalho"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f775489\AppData\Local\Microsoft\Windows\Temporary Internet Files\Content.Outlook\MW0BKUWJ\"/>
    </mc:Choice>
  </mc:AlternateContent>
  <bookViews>
    <workbookView xWindow="0" yWindow="0" windowWidth="28800" windowHeight="13020" tabRatio="860" firstSheet="1" activeTab="1"/>
  </bookViews>
  <sheets>
    <sheet name="Sumário" sheetId="1" state="hidden" r:id="rId1"/>
    <sheet name="Índex" sheetId="33" r:id="rId2"/>
    <sheet name="Managerial Assets" sheetId="3" r:id="rId3"/>
    <sheet name="Managerial Liabilities " sheetId="32" r:id="rId4"/>
    <sheet name=" Recurring Income Statement" sheetId="5" r:id="rId5"/>
    <sheet name="Accounting Assets" sheetId="41" r:id="rId6"/>
    <sheet name="Accounting Liabilities" sheetId="42" r:id="rId7"/>
    <sheet name="Statement Income " sheetId="43" r:id="rId8"/>
    <sheet name="Balance Sheet by Currency" sheetId="6" r:id="rId9"/>
    <sheet name="Securities" sheetId="7" r:id="rId10"/>
    <sheet name="Securities by Issuer" sheetId="8" r:id="rId11"/>
    <sheet name="Loan Operations" sheetId="34" r:id="rId12"/>
    <sheet name="Activity Sector (former)" sheetId="10" r:id="rId13"/>
    <sheet name="Activity Sector (current)" sheetId="38" r:id="rId14"/>
    <sheet name="Portfolio by Company Size (Bac)" sheetId="39" r:id="rId15"/>
    <sheet name="Portfolio by Company Size (exp)" sheetId="11" r:id="rId16"/>
    <sheet name="Portfolio by Type (Bacen)" sheetId="46" r:id="rId17"/>
    <sheet name="Portfolio by Type (exp)" sheetId="37" r:id="rId18"/>
    <sheet name="Consumer Financing" sheetId="13" r:id="rId19"/>
    <sheet name="Largest Borrowers" sheetId="14" r:id="rId20"/>
    <sheet name="Allowance for Loan Losses - PDD" sheetId="15" r:id="rId21"/>
    <sheet name="Expense of Provision" sheetId="44" r:id="rId22"/>
    <sheet name="PDD Movement" sheetId="35" r:id="rId23"/>
    <sheet name="Tax Credits" sheetId="17" r:id="rId24"/>
    <sheet name="Funding and Assets Managed" sheetId="18" r:id="rId25"/>
    <sheet name="Liability Contingencies" sheetId="19" r:id="rId26"/>
    <sheet name="Provisions by Account" sheetId="20" r:id="rId27"/>
    <sheet name="Technical Provisions by Product" sheetId="40" r:id="rId28"/>
    <sheet name="Income From Insurance" sheetId="45" r:id="rId29"/>
    <sheet name="Income Breakdown by Segment" sheetId="22" r:id="rId30"/>
    <sheet name="Adjusted Net Interest Income" sheetId="23" r:id="rId31"/>
    <sheet name="Fee and Commission Income" sheetId="24" r:id="rId32"/>
    <sheet name="Personnel Expenses" sheetId="25" r:id="rId33"/>
    <sheet name="Other Administrative Expenses" sheetId="26" r:id="rId34"/>
    <sheet name="Performance Ratios" sheetId="27" r:id="rId35"/>
    <sheet name="Efficiency Ratio (12 months)" sheetId="28" r:id="rId36"/>
    <sheet name="Coverage Ratio (12 months)" sheetId="29" r:id="rId37"/>
    <sheet name="Capital Adequacy Ratio" sheetId="30" r:id="rId38"/>
    <sheet name="Loan Portfolio - Indicators" sheetId="31" r:id="rId39"/>
  </sheets>
  <externalReferences>
    <externalReference r:id="rId40"/>
    <externalReference r:id="rId41"/>
  </externalReferences>
  <definedNames>
    <definedName name="Ajuste" localSheetId="21">#REF!</definedName>
    <definedName name="Ajuste" localSheetId="28">#REF!</definedName>
    <definedName name="Ajuste">#REF!</definedName>
    <definedName name="ajusteeee" localSheetId="21">#REF!</definedName>
    <definedName name="ajusteeee" localSheetId="28">#REF!</definedName>
    <definedName name="ajusteeee">#REF!</definedName>
    <definedName name="_xlnm.Print_Area" localSheetId="4">' Recurring Income Statement'!$A$1:$BD$38</definedName>
    <definedName name="_xlnm.Print_Area" localSheetId="5">'Accounting Assets'!$A$1:$J$72</definedName>
    <definedName name="_xlnm.Print_Area" localSheetId="6">'Accounting Liabilities'!$A$1:$J$68</definedName>
    <definedName name="_xlnm.Print_Area" localSheetId="13">'Activity Sector (current)'!$A$1:$E$29</definedName>
    <definedName name="_xlnm.Print_Area" localSheetId="12">'Activity Sector (former)'!$A$1:$AO$23</definedName>
    <definedName name="_xlnm.Print_Area" localSheetId="30">'Adjusted Net Interest Income'!$A$1:$AS$21</definedName>
    <definedName name="_xlnm.Print_Area" localSheetId="20">'Allowance for Loan Losses - PDD'!$A$1:$CL$25</definedName>
    <definedName name="_xlnm.Print_Area" localSheetId="8">'Balance Sheet by Currency'!$A$1:$EC$51</definedName>
    <definedName name="_xlnm.Print_Area" localSheetId="37">'Capital Adequacy Ratio'!$A$1:$BT$26</definedName>
    <definedName name="_xlnm.Print_Area" localSheetId="18">'Consumer Financing'!$A$1:$AS$17</definedName>
    <definedName name="_xlnm.Print_Area" localSheetId="36">'Coverage Ratio (12 months)'!$A$2:$AS$19</definedName>
    <definedName name="_xlnm.Print_Area" localSheetId="35">'Efficiency Ratio (12 months)'!$A$1:$AS$36</definedName>
    <definedName name="_xlnm.Print_Area" localSheetId="21">'Expense of Provision'!$A$1:$F$19</definedName>
    <definedName name="_xlnm.Print_Area" localSheetId="31">'Fee and Commission Income'!$A$2:$AS$22</definedName>
    <definedName name="_xlnm.Print_Area" localSheetId="24">'Funding and Assets Managed'!$A$2:$AS$29</definedName>
    <definedName name="_xlnm.Print_Area" localSheetId="29">'Income Breakdown by Segment'!$A$1:$AS$15</definedName>
    <definedName name="_xlnm.Print_Area" localSheetId="28">'Income From Insurance'!$A$1:$H$29</definedName>
    <definedName name="_xlnm.Print_Area" localSheetId="1">Índex!$A$1:$G$44</definedName>
    <definedName name="_xlnm.Print_Area" localSheetId="19">'Largest Borrowers'!$A$1:$CK$18</definedName>
    <definedName name="_xlnm.Print_Area" localSheetId="25">'Liability Contingencies'!$A$2:$AS$16</definedName>
    <definedName name="_xlnm.Print_Area" localSheetId="11">'Loan Operations'!$A$1:$CK$23</definedName>
    <definedName name="_xlnm.Print_Area" localSheetId="38">'Loan Portfolio - Indicators'!$A$1:$AS$41</definedName>
    <definedName name="_xlnm.Print_Area" localSheetId="2">'Managerial Assets'!$A$1:$AS$82</definedName>
    <definedName name="_xlnm.Print_Area" localSheetId="3">'Managerial Liabilities '!$A$1:$AS$73</definedName>
    <definedName name="_xlnm.Print_Area" localSheetId="33">'Other Administrative Expenses'!$A$2:$AS$27</definedName>
    <definedName name="_xlnm.Print_Area" localSheetId="22">'PDD Movement'!$A$1:$AS$26</definedName>
    <definedName name="_xlnm.Print_Area" localSheetId="34">'Performance Ratios'!$A$2:$AS$34</definedName>
    <definedName name="_xlnm.Print_Area" localSheetId="32">'Personnel Expenses'!$A$2:$AS$22</definedName>
    <definedName name="_xlnm.Print_Area" localSheetId="14">'Portfolio by Company Size (Bac)'!$A$1:$AS$15</definedName>
    <definedName name="_xlnm.Print_Area" localSheetId="15">'Portfolio by Company Size (exp)'!$A$1:$R$17</definedName>
    <definedName name="_xlnm.Print_Area" localSheetId="16">'Portfolio by Type (Bacen)'!$A$1:$AS$32</definedName>
    <definedName name="_xlnm.Print_Area" localSheetId="17">'Portfolio by Type (exp)'!$A$1:$AS$37</definedName>
    <definedName name="_xlnm.Print_Area" localSheetId="26">'Provisions by Account'!$A$1:$AS$22</definedName>
    <definedName name="_xlnm.Print_Area" localSheetId="9">Securities!$A$1:$AS$22</definedName>
    <definedName name="_xlnm.Print_Area" localSheetId="10">'Securities by Issuer'!$A$1:$AS$37</definedName>
    <definedName name="_xlnm.Print_Area" localSheetId="7">'Statement Income '!$A$1:$L$41</definedName>
    <definedName name="_xlnm.Print_Area" localSheetId="0">Sumário!$B$6:$D$14</definedName>
    <definedName name="_xlnm.Print_Area" localSheetId="23">'Tax Credits'!$A$1:$AS$39</definedName>
    <definedName name="_xlnm.Print_Area" localSheetId="27">'Technical Provisions by Product'!$A$2:$AS$21</definedName>
    <definedName name="Arrend2" localSheetId="5">#REF!</definedName>
    <definedName name="Arrend2" localSheetId="6">#REF!</definedName>
    <definedName name="Arrend2" localSheetId="13">#REF!</definedName>
    <definedName name="Arrend2" localSheetId="21">#REF!</definedName>
    <definedName name="Arrend2" localSheetId="28">#REF!</definedName>
    <definedName name="Arrend2" localSheetId="17">#REF!</definedName>
    <definedName name="Arrend2" localSheetId="7">#REF!</definedName>
    <definedName name="Arrend2">#REF!</definedName>
    <definedName name="Balanço_por_Moeda_Ajustado" localSheetId="5">#REF!</definedName>
    <definedName name="Balanço_por_Moeda_Ajustado" localSheetId="6">#REF!</definedName>
    <definedName name="Balanço_por_Moeda_Ajustado" localSheetId="13">#REF!</definedName>
    <definedName name="Balanço_por_Moeda_Ajustado" localSheetId="21">#REF!</definedName>
    <definedName name="Balanço_por_Moeda_Ajustado" localSheetId="28">#REF!</definedName>
    <definedName name="Balanço_por_Moeda_Ajustado" localSheetId="17">#REF!</definedName>
    <definedName name="Balanço_por_Moeda_Ajustado" localSheetId="7">#REF!</definedName>
    <definedName name="Balanço_por_Moeda_Ajustado">#REF!</definedName>
    <definedName name="Cid" localSheetId="5">#REF!</definedName>
    <definedName name="Cid" localSheetId="6">#REF!</definedName>
    <definedName name="Cid" localSheetId="13">#REF!</definedName>
    <definedName name="Cid" localSheetId="21">#REF!</definedName>
    <definedName name="Cid" localSheetId="28">#REF!</definedName>
    <definedName name="Cid" localSheetId="17">#REF!</definedName>
    <definedName name="Cid" localSheetId="7">#REF!</definedName>
    <definedName name="Cid">#REF!</definedName>
    <definedName name="conta" localSheetId="5">#REF!</definedName>
    <definedName name="conta" localSheetId="6">#REF!</definedName>
    <definedName name="conta" localSheetId="13">#REF!</definedName>
    <definedName name="conta" localSheetId="21">#REF!</definedName>
    <definedName name="conta" localSheetId="28">#REF!</definedName>
    <definedName name="conta" localSheetId="17">#REF!</definedName>
    <definedName name="conta" localSheetId="7">#REF!</definedName>
    <definedName name="conta">#REF!</definedName>
    <definedName name="cosif" localSheetId="5">#REF!</definedName>
    <definedName name="cosif" localSheetId="6">#REF!</definedName>
    <definedName name="cosif" localSheetId="13">#REF!</definedName>
    <definedName name="cosif" localSheetId="21">#REF!</definedName>
    <definedName name="cosif" localSheetId="28">#REF!</definedName>
    <definedName name="cosif" localSheetId="17">#REF!</definedName>
    <definedName name="cosif" localSheetId="7">#REF!</definedName>
    <definedName name="cosif">#REF!</definedName>
    <definedName name="cosif1" localSheetId="5">#REF!</definedName>
    <definedName name="cosif1" localSheetId="6">#REF!</definedName>
    <definedName name="cosif1" localSheetId="21">#REF!</definedName>
    <definedName name="cosif1" localSheetId="28">#REF!</definedName>
    <definedName name="cosif1" localSheetId="7">#REF!</definedName>
    <definedName name="cosif1">#REF!</definedName>
    <definedName name="_xlnm.Criteria" localSheetId="5">'[1]PUB-PAT'!#REF!</definedName>
    <definedName name="_xlnm.Criteria" localSheetId="6">'[1]PUB-PAT'!#REF!</definedName>
    <definedName name="_xlnm.Criteria" localSheetId="13">#REF!</definedName>
    <definedName name="_xlnm.Criteria" localSheetId="12">#REF!</definedName>
    <definedName name="_xlnm.Criteria" localSheetId="20">#REF!</definedName>
    <definedName name="_xlnm.Criteria" localSheetId="18">#REF!</definedName>
    <definedName name="_xlnm.Criteria" localSheetId="21">#REF!</definedName>
    <definedName name="_xlnm.Criteria" localSheetId="28">'[1]PUB-PAT'!#REF!</definedName>
    <definedName name="_xlnm.Criteria" localSheetId="19">#REF!</definedName>
    <definedName name="_xlnm.Criteria" localSheetId="11">#REF!</definedName>
    <definedName name="_xlnm.Criteria" localSheetId="3">'[1]PUB-PAT'!#REF!</definedName>
    <definedName name="_xlnm.Criteria" localSheetId="22">#REF!</definedName>
    <definedName name="_xlnm.Criteria" localSheetId="14">#REF!</definedName>
    <definedName name="_xlnm.Criteria" localSheetId="15">#REF!</definedName>
    <definedName name="_xlnm.Criteria" localSheetId="16">#REF!</definedName>
    <definedName name="_xlnm.Criteria" localSheetId="17">#REF!</definedName>
    <definedName name="_xlnm.Criteria" localSheetId="9">#REF!</definedName>
    <definedName name="_xlnm.Criteria" localSheetId="10">#REF!</definedName>
    <definedName name="_xlnm.Criteria" localSheetId="7">'[1]PUB-PAT'!#REF!</definedName>
    <definedName name="_xlnm.Criteria" localSheetId="27">'[1]PUB-PAT'!#REF!</definedName>
    <definedName name="_xlnm.Criteria">'[1]PUB-PAT'!#REF!</definedName>
    <definedName name="DADOS_REPORT" localSheetId="5">OFFSET(#REF!,0,0,COUNTA(#REF!),COUNTA(#REF!))</definedName>
    <definedName name="DADOS_REPORT" localSheetId="6">OFFSET(#REF!,0,0,COUNTA(#REF!),COUNTA(#REF!))</definedName>
    <definedName name="DADOS_REPORT" localSheetId="13">OFFSET(#REF!,0,0,COUNTA(#REF!),COUNTA(#REF!))</definedName>
    <definedName name="DADOS_REPORT" localSheetId="21">OFFSET(#REF!,0,0,COUNTA(#REF!),COUNTA(#REF!))</definedName>
    <definedName name="DADOS_REPORT" localSheetId="28">OFFSET(#REF!,0,0,COUNTA(#REF!),COUNTA(#REF!))</definedName>
    <definedName name="DADOS_REPORT" localSheetId="17">OFFSET(#REF!,0,0,COUNTA(#REF!),COUNTA(#REF!))</definedName>
    <definedName name="DADOS_REPORT" localSheetId="7">OFFSET(#REF!,0,0,COUNTA(#REF!),COUNTA(#REF!))</definedName>
    <definedName name="DADOS_REPORT">OFFSET(#REF!,0,0,COUNTA(#REF!),COUNTA(#REF!))</definedName>
    <definedName name="Empresa" localSheetId="5">#REF!</definedName>
    <definedName name="Empresa" localSheetId="6">#REF!</definedName>
    <definedName name="Empresa" localSheetId="13">#REF!</definedName>
    <definedName name="Empresa" localSheetId="21">#REF!</definedName>
    <definedName name="Empresa" localSheetId="28">#REF!</definedName>
    <definedName name="Empresa" localSheetId="17">#REF!</definedName>
    <definedName name="Empresa" localSheetId="7">#REF!</definedName>
    <definedName name="Empresa">#REF!</definedName>
    <definedName name="Jornal" localSheetId="5">#REF!</definedName>
    <definedName name="Jornal" localSheetId="6">#REF!</definedName>
    <definedName name="Jornal" localSheetId="13">#REF!</definedName>
    <definedName name="Jornal" localSheetId="21">#REF!</definedName>
    <definedName name="Jornal" localSheetId="28">#REF!</definedName>
    <definedName name="Jornal" localSheetId="17">#REF!</definedName>
    <definedName name="Jornal" localSheetId="7">#REF!</definedName>
    <definedName name="Jornal">#REF!</definedName>
    <definedName name="Patrimonial" localSheetId="5">#REF!</definedName>
    <definedName name="Patrimonial" localSheetId="6">#REF!</definedName>
    <definedName name="Patrimonial" localSheetId="13">#REF!</definedName>
    <definedName name="Patrimonial" localSheetId="21">#REF!</definedName>
    <definedName name="Patrimonial" localSheetId="28">#REF!</definedName>
    <definedName name="Patrimonial" localSheetId="17">#REF!</definedName>
    <definedName name="Patrimonial" localSheetId="7">#REF!</definedName>
    <definedName name="Patrimonial">#REF!</definedName>
    <definedName name="Plan" localSheetId="5">#REF!</definedName>
    <definedName name="Plan" localSheetId="6">#REF!</definedName>
    <definedName name="Plan" localSheetId="13">#REF!</definedName>
    <definedName name="Plan" localSheetId="21">#REF!</definedName>
    <definedName name="Plan" localSheetId="28">#REF!</definedName>
    <definedName name="Plan" localSheetId="17">#REF!</definedName>
    <definedName name="Plan" localSheetId="7">#REF!</definedName>
    <definedName name="Plan">#REF!</definedName>
    <definedName name="Porte" localSheetId="5">'[1]PUB-PAT'!#REF!</definedName>
    <definedName name="Porte" localSheetId="6">'[1]PUB-PAT'!#REF!</definedName>
    <definedName name="Porte" localSheetId="21">'[1]PUB-PAT'!#REF!</definedName>
    <definedName name="Porte" localSheetId="28">'[1]PUB-PAT'!#REF!</definedName>
    <definedName name="Porte" localSheetId="7">'[1]PUB-PAT'!#REF!</definedName>
    <definedName name="Porte">'[1]PUB-PAT'!#REF!</definedName>
    <definedName name="_xlnm.Print_Titles" localSheetId="4">' Recurring Income Statement'!$A:$A,' Recurring Income Statement'!$1:$4</definedName>
    <definedName name="_xlnm.Print_Titles" localSheetId="5">'Accounting Assets'!$A:$A</definedName>
    <definedName name="_xlnm.Print_Titles" localSheetId="6">'Accounting Liabilities'!$A:$A</definedName>
    <definedName name="_xlnm.Print_Titles" localSheetId="13">'Activity Sector (current)'!$A:$A</definedName>
    <definedName name="_xlnm.Print_Titles" localSheetId="12">'Activity Sector (former)'!$A:$A</definedName>
    <definedName name="_xlnm.Print_Titles" localSheetId="30">'Adjusted Net Interest Income'!$A:$A</definedName>
    <definedName name="_xlnm.Print_Titles" localSheetId="20">'Allowance for Loan Losses - PDD'!$A:$B</definedName>
    <definedName name="_xlnm.Print_Titles" localSheetId="8">'Balance Sheet by Currency'!$A:$A</definedName>
    <definedName name="_xlnm.Print_Titles" localSheetId="37">'Capital Adequacy Ratio'!$A:$A</definedName>
    <definedName name="_xlnm.Print_Titles" localSheetId="18">'Consumer Financing'!$A:$A</definedName>
    <definedName name="_xlnm.Print_Titles" localSheetId="36">'Coverage Ratio (12 months)'!$A:$A</definedName>
    <definedName name="_xlnm.Print_Titles" localSheetId="35">'Efficiency Ratio (12 months)'!$A:$A</definedName>
    <definedName name="_xlnm.Print_Titles" localSheetId="21">'Expense of Provision'!$A:$A</definedName>
    <definedName name="_xlnm.Print_Titles" localSheetId="31">'Fee and Commission Income'!$A:$A</definedName>
    <definedName name="_xlnm.Print_Titles" localSheetId="24">'Funding and Assets Managed'!$A:$A</definedName>
    <definedName name="_xlnm.Print_Titles" localSheetId="29">'Income Breakdown by Segment'!$A:$A</definedName>
    <definedName name="_xlnm.Print_Titles" localSheetId="28">'Income From Insurance'!$A:$A</definedName>
    <definedName name="_xlnm.Print_Titles" localSheetId="19">'Largest Borrowers'!$A:$A</definedName>
    <definedName name="_xlnm.Print_Titles" localSheetId="25">'Liability Contingencies'!$A:$A</definedName>
    <definedName name="_xlnm.Print_Titles" localSheetId="11">'Loan Operations'!$A:$A</definedName>
    <definedName name="_xlnm.Print_Titles" localSheetId="38">'Loan Portfolio - Indicators'!$A:$A</definedName>
    <definedName name="_xlnm.Print_Titles" localSheetId="2">'Managerial Assets'!$A:$A</definedName>
    <definedName name="_xlnm.Print_Titles" localSheetId="3">'Managerial Liabilities '!$A:$A</definedName>
    <definedName name="_xlnm.Print_Titles" localSheetId="33">'Other Administrative Expenses'!$A:$A</definedName>
    <definedName name="_xlnm.Print_Titles" localSheetId="22">'PDD Movement'!$A:$A</definedName>
    <definedName name="_xlnm.Print_Titles" localSheetId="34">'Performance Ratios'!$A:$A</definedName>
    <definedName name="_xlnm.Print_Titles" localSheetId="32">'Personnel Expenses'!$A:$A</definedName>
    <definedName name="_xlnm.Print_Titles" localSheetId="14">'Portfolio by Company Size (Bac)'!$A:$A</definedName>
    <definedName name="_xlnm.Print_Titles" localSheetId="15">'Portfolio by Company Size (exp)'!$A:$A</definedName>
    <definedName name="_xlnm.Print_Titles" localSheetId="16">'Portfolio by Type (Bacen)'!$A:$A</definedName>
    <definedName name="_xlnm.Print_Titles" localSheetId="17">'Portfolio by Type (exp)'!$A:$A</definedName>
    <definedName name="_xlnm.Print_Titles" localSheetId="26">'Provisions by Account'!$A:$A</definedName>
    <definedName name="_xlnm.Print_Titles" localSheetId="9">Securities!$A:$A</definedName>
    <definedName name="_xlnm.Print_Titles" localSheetId="10">'Securities by Issuer'!$A:$A</definedName>
    <definedName name="_xlnm.Print_Titles" localSheetId="7">'Statement Income '!$A:$A,'Statement Income '!$1:$4</definedName>
    <definedName name="_xlnm.Print_Titles" localSheetId="23">'Tax Credits'!$A:$A</definedName>
    <definedName name="_xlnm.Print_Titles" localSheetId="27">'Technical Provisions by Product'!$A:$A</definedName>
    <definedName name="total_geral_consolidado">INDIRECT(ADDRESS(ROW(),MATCH("total geral",[2]balanc_consolidado!$A$13:$P$13,0),1))</definedName>
    <definedName name="valorcon" localSheetId="5">#REF!</definedName>
    <definedName name="valorcon" localSheetId="6">#REF!</definedName>
    <definedName name="valorcon" localSheetId="13">#REF!</definedName>
    <definedName name="valorcon" localSheetId="21">#REF!</definedName>
    <definedName name="valorcon" localSheetId="28">#REF!</definedName>
    <definedName name="valorcon" localSheetId="17">#REF!</definedName>
    <definedName name="valorcon" localSheetId="7">#REF!</definedName>
    <definedName name="valorcon">#REF!</definedName>
    <definedName name="valormu" localSheetId="5">#REF!</definedName>
    <definedName name="valormu" localSheetId="6">#REF!</definedName>
    <definedName name="valormu" localSheetId="13">#REF!</definedName>
    <definedName name="valormu" localSheetId="21">#REF!</definedName>
    <definedName name="valormu" localSheetId="28">#REF!</definedName>
    <definedName name="valormu" localSheetId="17">#REF!</definedName>
    <definedName name="valormu" localSheetId="7">#REF!</definedName>
    <definedName name="valormu">#REF!</definedName>
    <definedName name="Z_6D89F6EF_F5AD_478F_979A_5AF1BC78EF91_.wvu.PrintArea" localSheetId="4" hidden="1">' Recurring Income Statement'!$A$1:$AS$37</definedName>
    <definedName name="Z_6D89F6EF_F5AD_478F_979A_5AF1BC78EF91_.wvu.PrintArea" localSheetId="13" hidden="1">'Activity Sector (current)'!$A$1:$A$19</definedName>
    <definedName name="Z_6D89F6EF_F5AD_478F_979A_5AF1BC78EF91_.wvu.PrintArea" localSheetId="12" hidden="1">'Activity Sector (former)'!$A$1:$AK$22</definedName>
    <definedName name="Z_6D89F6EF_F5AD_478F_979A_5AF1BC78EF91_.wvu.PrintArea" localSheetId="30" hidden="1">'Adjusted Net Interest Income'!$A$2:$AK$39</definedName>
    <definedName name="Z_6D89F6EF_F5AD_478F_979A_5AF1BC78EF91_.wvu.PrintArea" localSheetId="20" hidden="1">'Allowance for Loan Losses - PDD'!$A$5:$BV$25</definedName>
    <definedName name="Z_6D89F6EF_F5AD_478F_979A_5AF1BC78EF91_.wvu.PrintArea" localSheetId="8" hidden="1">'Balance Sheet by Currency'!$A:$DE</definedName>
    <definedName name="Z_6D89F6EF_F5AD_478F_979A_5AF1BC78EF91_.wvu.PrintArea" localSheetId="37" hidden="1">'Capital Adequacy Ratio'!$A$1:$BL$26</definedName>
    <definedName name="Z_6D89F6EF_F5AD_478F_979A_5AF1BC78EF91_.wvu.PrintArea" localSheetId="18" hidden="1">'Consumer Financing'!$A$1:$Y$18</definedName>
    <definedName name="Z_6D89F6EF_F5AD_478F_979A_5AF1BC78EF91_.wvu.PrintArea" localSheetId="36" hidden="1">'Coverage Ratio (12 months)'!$A$2:$AK$19</definedName>
    <definedName name="Z_6D89F6EF_F5AD_478F_979A_5AF1BC78EF91_.wvu.PrintArea" localSheetId="35" hidden="1">'Efficiency Ratio (12 months)'!$A$2:$AK$39</definedName>
    <definedName name="Z_6D89F6EF_F5AD_478F_979A_5AF1BC78EF91_.wvu.PrintArea" localSheetId="21" hidden="1">'Expense of Provision'!$A$1:$A$15</definedName>
    <definedName name="Z_6D89F6EF_F5AD_478F_979A_5AF1BC78EF91_.wvu.PrintArea" localSheetId="31" hidden="1">'Fee and Commission Income'!$A$2:$AK$32</definedName>
    <definedName name="Z_6D89F6EF_F5AD_478F_979A_5AF1BC78EF91_.wvu.PrintArea" localSheetId="24" hidden="1">'Funding and Assets Managed'!$A$2:$F$33</definedName>
    <definedName name="Z_6D89F6EF_F5AD_478F_979A_5AF1BC78EF91_.wvu.PrintArea" localSheetId="29" hidden="1">'Income Breakdown by Segment'!$A$2:$AK$17</definedName>
    <definedName name="Z_6D89F6EF_F5AD_478F_979A_5AF1BC78EF91_.wvu.PrintArea" localSheetId="28" hidden="1">'Income From Insurance'!$A$2:$B$26</definedName>
    <definedName name="Z_6D89F6EF_F5AD_478F_979A_5AF1BC78EF91_.wvu.PrintArea" localSheetId="19" hidden="1">'Largest Borrowers'!$A$1:$AW$18</definedName>
    <definedName name="Z_6D89F6EF_F5AD_478F_979A_5AF1BC78EF91_.wvu.PrintArea" localSheetId="25" hidden="1">'Liability Contingencies'!$A$2:$AK$24</definedName>
    <definedName name="Z_6D89F6EF_F5AD_478F_979A_5AF1BC78EF91_.wvu.PrintArea" localSheetId="11" hidden="1">'Loan Operations'!$A$1:$BU$24</definedName>
    <definedName name="Z_6D89F6EF_F5AD_478F_979A_5AF1BC78EF91_.wvu.PrintArea" localSheetId="38" hidden="1">'Loan Portfolio - Indicators'!$A$2:$Q$31</definedName>
    <definedName name="Z_6D89F6EF_F5AD_478F_979A_5AF1BC78EF91_.wvu.PrintArea" localSheetId="33" hidden="1">'Other Administrative Expenses'!$A$2:$AK$32</definedName>
    <definedName name="Z_6D89F6EF_F5AD_478F_979A_5AF1BC78EF91_.wvu.PrintArea" localSheetId="22" hidden="1">'PDD Movement'!$A$1:$AK$19</definedName>
    <definedName name="Z_6D89F6EF_F5AD_478F_979A_5AF1BC78EF91_.wvu.PrintArea" localSheetId="34" hidden="1">'Performance Ratios'!$A$2:$AK$32</definedName>
    <definedName name="Z_6D89F6EF_F5AD_478F_979A_5AF1BC78EF91_.wvu.PrintArea" localSheetId="32" hidden="1">'Personnel Expenses'!$A$2:$AK$35</definedName>
    <definedName name="Z_6D89F6EF_F5AD_478F_979A_5AF1BC78EF91_.wvu.PrintArea" localSheetId="15" hidden="1">'Portfolio by Company Size (exp)'!$A$1:$J$16</definedName>
    <definedName name="Z_6D89F6EF_F5AD_478F_979A_5AF1BC78EF91_.wvu.PrintArea" localSheetId="16" hidden="1">'Portfolio by Type (Bacen)'!$A$1:$AK$33</definedName>
    <definedName name="Z_6D89F6EF_F5AD_478F_979A_5AF1BC78EF91_.wvu.PrintArea" localSheetId="17" hidden="1">'Portfolio by Type (exp)'!$A$1:$AK$37</definedName>
    <definedName name="Z_6D89F6EF_F5AD_478F_979A_5AF1BC78EF91_.wvu.PrintArea" localSheetId="26" hidden="1">'Provisions by Account'!$A$2:$AK$29</definedName>
    <definedName name="Z_6D89F6EF_F5AD_478F_979A_5AF1BC78EF91_.wvu.PrintArea" localSheetId="9" hidden="1">Securities!$A$1:$AK$22</definedName>
    <definedName name="Z_6D89F6EF_F5AD_478F_979A_5AF1BC78EF91_.wvu.PrintArea" localSheetId="10" hidden="1">'Securities by Issuer'!$A$1:$AG$37</definedName>
    <definedName name="Z_6D89F6EF_F5AD_478F_979A_5AF1BC78EF91_.wvu.PrintArea" localSheetId="7" hidden="1">'Statement Income '!$A$1:$A$41</definedName>
    <definedName name="Z_6D89F6EF_F5AD_478F_979A_5AF1BC78EF91_.wvu.PrintArea" localSheetId="0" hidden="1">Sumário!$B$6:$D$14</definedName>
    <definedName name="Z_6D89F6EF_F5AD_478F_979A_5AF1BC78EF91_.wvu.PrintArea" localSheetId="23" hidden="1">'Tax Credits'!$A$1:$AK$39</definedName>
    <definedName name="Z_6D89F6EF_F5AD_478F_979A_5AF1BC78EF91_.wvu.PrintTitles" localSheetId="4" hidden="1">' Recurring Income Statement'!$A:$A,' Recurring Income Statement'!$1:$4</definedName>
    <definedName name="Z_6D89F6EF_F5AD_478F_979A_5AF1BC78EF91_.wvu.PrintTitles" localSheetId="13" hidden="1">'Activity Sector (current)'!$A:$A</definedName>
    <definedName name="Z_6D89F6EF_F5AD_478F_979A_5AF1BC78EF91_.wvu.PrintTitles" localSheetId="12" hidden="1">'Activity Sector (former)'!$A:$A</definedName>
    <definedName name="Z_6D89F6EF_F5AD_478F_979A_5AF1BC78EF91_.wvu.PrintTitles" localSheetId="30" hidden="1">'Adjusted Net Interest Income'!$A:$A</definedName>
    <definedName name="Z_6D89F6EF_F5AD_478F_979A_5AF1BC78EF91_.wvu.PrintTitles" localSheetId="20" hidden="1">'Allowance for Loan Losses - PDD'!$A:$B</definedName>
    <definedName name="Z_6D89F6EF_F5AD_478F_979A_5AF1BC78EF91_.wvu.PrintTitles" localSheetId="8" hidden="1">'Balance Sheet by Currency'!$A:$A</definedName>
    <definedName name="Z_6D89F6EF_F5AD_478F_979A_5AF1BC78EF91_.wvu.PrintTitles" localSheetId="37" hidden="1">'Capital Adequacy Ratio'!$A:$A</definedName>
    <definedName name="Z_6D89F6EF_F5AD_478F_979A_5AF1BC78EF91_.wvu.PrintTitles" localSheetId="18" hidden="1">'Consumer Financing'!$A:$A</definedName>
    <definedName name="Z_6D89F6EF_F5AD_478F_979A_5AF1BC78EF91_.wvu.PrintTitles" localSheetId="36" hidden="1">'Coverage Ratio (12 months)'!$A:$A</definedName>
    <definedName name="Z_6D89F6EF_F5AD_478F_979A_5AF1BC78EF91_.wvu.PrintTitles" localSheetId="35" hidden="1">'Efficiency Ratio (12 months)'!$A:$A</definedName>
    <definedName name="Z_6D89F6EF_F5AD_478F_979A_5AF1BC78EF91_.wvu.PrintTitles" localSheetId="21" hidden="1">'Expense of Provision'!$A:$A</definedName>
    <definedName name="Z_6D89F6EF_F5AD_478F_979A_5AF1BC78EF91_.wvu.PrintTitles" localSheetId="31" hidden="1">'Fee and Commission Income'!$A:$A</definedName>
    <definedName name="Z_6D89F6EF_F5AD_478F_979A_5AF1BC78EF91_.wvu.PrintTitles" localSheetId="24" hidden="1">'Funding and Assets Managed'!$A:$A</definedName>
    <definedName name="Z_6D89F6EF_F5AD_478F_979A_5AF1BC78EF91_.wvu.PrintTitles" localSheetId="29" hidden="1">'Income Breakdown by Segment'!$A:$A</definedName>
    <definedName name="Z_6D89F6EF_F5AD_478F_979A_5AF1BC78EF91_.wvu.PrintTitles" localSheetId="28" hidden="1">'Income From Insurance'!$A:$A</definedName>
    <definedName name="Z_6D89F6EF_F5AD_478F_979A_5AF1BC78EF91_.wvu.PrintTitles" localSheetId="19" hidden="1">'Largest Borrowers'!$A:$A</definedName>
    <definedName name="Z_6D89F6EF_F5AD_478F_979A_5AF1BC78EF91_.wvu.PrintTitles" localSheetId="25" hidden="1">'Liability Contingencies'!$A:$A</definedName>
    <definedName name="Z_6D89F6EF_F5AD_478F_979A_5AF1BC78EF91_.wvu.PrintTitles" localSheetId="11" hidden="1">'Loan Operations'!$A:$A</definedName>
    <definedName name="Z_6D89F6EF_F5AD_478F_979A_5AF1BC78EF91_.wvu.PrintTitles" localSheetId="38" hidden="1">'Loan Portfolio - Indicators'!$A:$A</definedName>
    <definedName name="Z_6D89F6EF_F5AD_478F_979A_5AF1BC78EF91_.wvu.PrintTitles" localSheetId="33" hidden="1">'Other Administrative Expenses'!$A:$A</definedName>
    <definedName name="Z_6D89F6EF_F5AD_478F_979A_5AF1BC78EF91_.wvu.PrintTitles" localSheetId="22" hidden="1">'PDD Movement'!$A:$A</definedName>
    <definedName name="Z_6D89F6EF_F5AD_478F_979A_5AF1BC78EF91_.wvu.PrintTitles" localSheetId="34" hidden="1">'Performance Ratios'!$A:$A</definedName>
    <definedName name="Z_6D89F6EF_F5AD_478F_979A_5AF1BC78EF91_.wvu.PrintTitles" localSheetId="32" hidden="1">'Personnel Expenses'!$A:$A</definedName>
    <definedName name="Z_6D89F6EF_F5AD_478F_979A_5AF1BC78EF91_.wvu.PrintTitles" localSheetId="15" hidden="1">'Portfolio by Company Size (exp)'!$A:$A</definedName>
    <definedName name="Z_6D89F6EF_F5AD_478F_979A_5AF1BC78EF91_.wvu.PrintTitles" localSheetId="16" hidden="1">'Portfolio by Type (Bacen)'!$A:$A</definedName>
    <definedName name="Z_6D89F6EF_F5AD_478F_979A_5AF1BC78EF91_.wvu.PrintTitles" localSheetId="17" hidden="1">'Portfolio by Type (exp)'!$A:$A</definedName>
    <definedName name="Z_6D89F6EF_F5AD_478F_979A_5AF1BC78EF91_.wvu.PrintTitles" localSheetId="26" hidden="1">'Provisions by Account'!$A:$A</definedName>
    <definedName name="Z_6D89F6EF_F5AD_478F_979A_5AF1BC78EF91_.wvu.PrintTitles" localSheetId="9" hidden="1">Securities!$A:$A</definedName>
    <definedName name="Z_6D89F6EF_F5AD_478F_979A_5AF1BC78EF91_.wvu.PrintTitles" localSheetId="10" hidden="1">'Securities by Issuer'!$A:$A</definedName>
    <definedName name="Z_6D89F6EF_F5AD_478F_979A_5AF1BC78EF91_.wvu.PrintTitles" localSheetId="7" hidden="1">'Statement Income '!$A:$A,'Statement Income '!$1:$4</definedName>
    <definedName name="Z_6D89F6EF_F5AD_478F_979A_5AF1BC78EF91_.wvu.PrintTitles" localSheetId="23" hidden="1">'Tax Credits'!$A:$A</definedName>
    <definedName name="Z_A9134056_6B1C_4A42_AFE9_9712EF3EF3D4_.wvu.PrintArea" localSheetId="4" hidden="1">' Recurring Income Statement'!$A$1:$AS$37</definedName>
    <definedName name="Z_A9134056_6B1C_4A42_AFE9_9712EF3EF3D4_.wvu.PrintArea" localSheetId="13" hidden="1">'Activity Sector (current)'!$A$1:$A$19</definedName>
    <definedName name="Z_A9134056_6B1C_4A42_AFE9_9712EF3EF3D4_.wvu.PrintArea" localSheetId="12" hidden="1">'Activity Sector (former)'!$A$1:$AK$22</definedName>
    <definedName name="Z_A9134056_6B1C_4A42_AFE9_9712EF3EF3D4_.wvu.PrintArea" localSheetId="30" hidden="1">'Adjusted Net Interest Income'!$A$2:$AK$39</definedName>
    <definedName name="Z_A9134056_6B1C_4A42_AFE9_9712EF3EF3D4_.wvu.PrintArea" localSheetId="20" hidden="1">'Allowance for Loan Losses - PDD'!$A$5:$BV$25</definedName>
    <definedName name="Z_A9134056_6B1C_4A42_AFE9_9712EF3EF3D4_.wvu.PrintArea" localSheetId="8" hidden="1">'Balance Sheet by Currency'!$A:$DE</definedName>
    <definedName name="Z_A9134056_6B1C_4A42_AFE9_9712EF3EF3D4_.wvu.PrintArea" localSheetId="37" hidden="1">'Capital Adequacy Ratio'!$A$1:$BL$26</definedName>
    <definedName name="Z_A9134056_6B1C_4A42_AFE9_9712EF3EF3D4_.wvu.PrintArea" localSheetId="18" hidden="1">'Consumer Financing'!$A$1:$Y$18</definedName>
    <definedName name="Z_A9134056_6B1C_4A42_AFE9_9712EF3EF3D4_.wvu.PrintArea" localSheetId="36" hidden="1">'Coverage Ratio (12 months)'!$A$2:$AK$19</definedName>
    <definedName name="Z_A9134056_6B1C_4A42_AFE9_9712EF3EF3D4_.wvu.PrintArea" localSheetId="35" hidden="1">'Efficiency Ratio (12 months)'!$A$2:$AK$39</definedName>
    <definedName name="Z_A9134056_6B1C_4A42_AFE9_9712EF3EF3D4_.wvu.PrintArea" localSheetId="21" hidden="1">'Expense of Provision'!$A$1:$A$15</definedName>
    <definedName name="Z_A9134056_6B1C_4A42_AFE9_9712EF3EF3D4_.wvu.PrintArea" localSheetId="31" hidden="1">'Fee and Commission Income'!$A$2:$AK$32</definedName>
    <definedName name="Z_A9134056_6B1C_4A42_AFE9_9712EF3EF3D4_.wvu.PrintArea" localSheetId="24" hidden="1">'Funding and Assets Managed'!$A$2:$F$33</definedName>
    <definedName name="Z_A9134056_6B1C_4A42_AFE9_9712EF3EF3D4_.wvu.PrintArea" localSheetId="29" hidden="1">'Income Breakdown by Segment'!$A$2:$AK$17</definedName>
    <definedName name="Z_A9134056_6B1C_4A42_AFE9_9712EF3EF3D4_.wvu.PrintArea" localSheetId="28" hidden="1">'Income From Insurance'!$A$2:$B$26</definedName>
    <definedName name="Z_A9134056_6B1C_4A42_AFE9_9712EF3EF3D4_.wvu.PrintArea" localSheetId="19" hidden="1">'Largest Borrowers'!$A$1:$AW$18</definedName>
    <definedName name="Z_A9134056_6B1C_4A42_AFE9_9712EF3EF3D4_.wvu.PrintArea" localSheetId="25" hidden="1">'Liability Contingencies'!$A$2:$AK$24</definedName>
    <definedName name="Z_A9134056_6B1C_4A42_AFE9_9712EF3EF3D4_.wvu.PrintArea" localSheetId="11" hidden="1">'Loan Operations'!$A$1:$BU$24</definedName>
    <definedName name="Z_A9134056_6B1C_4A42_AFE9_9712EF3EF3D4_.wvu.PrintArea" localSheetId="38" hidden="1">'Loan Portfolio - Indicators'!$A$2:$Q$31</definedName>
    <definedName name="Z_A9134056_6B1C_4A42_AFE9_9712EF3EF3D4_.wvu.PrintArea" localSheetId="33" hidden="1">'Other Administrative Expenses'!$A$2:$AK$32</definedName>
    <definedName name="Z_A9134056_6B1C_4A42_AFE9_9712EF3EF3D4_.wvu.PrintArea" localSheetId="22" hidden="1">'PDD Movement'!$A$1:$AK$19</definedName>
    <definedName name="Z_A9134056_6B1C_4A42_AFE9_9712EF3EF3D4_.wvu.PrintArea" localSheetId="34" hidden="1">'Performance Ratios'!$A$2:$AK$32</definedName>
    <definedName name="Z_A9134056_6B1C_4A42_AFE9_9712EF3EF3D4_.wvu.PrintArea" localSheetId="32" hidden="1">'Personnel Expenses'!$A$2:$AK$35</definedName>
    <definedName name="Z_A9134056_6B1C_4A42_AFE9_9712EF3EF3D4_.wvu.PrintArea" localSheetId="15" hidden="1">'Portfolio by Company Size (exp)'!$A$1:$J$16</definedName>
    <definedName name="Z_A9134056_6B1C_4A42_AFE9_9712EF3EF3D4_.wvu.PrintArea" localSheetId="16" hidden="1">'Portfolio by Type (Bacen)'!$A$1:$AK$33</definedName>
    <definedName name="Z_A9134056_6B1C_4A42_AFE9_9712EF3EF3D4_.wvu.PrintArea" localSheetId="17" hidden="1">'Portfolio by Type (exp)'!$A$1:$AK$37</definedName>
    <definedName name="Z_A9134056_6B1C_4A42_AFE9_9712EF3EF3D4_.wvu.PrintArea" localSheetId="26" hidden="1">'Provisions by Account'!$A$2:$AK$29</definedName>
    <definedName name="Z_A9134056_6B1C_4A42_AFE9_9712EF3EF3D4_.wvu.PrintArea" localSheetId="9" hidden="1">Securities!$A$1:$AK$22</definedName>
    <definedName name="Z_A9134056_6B1C_4A42_AFE9_9712EF3EF3D4_.wvu.PrintArea" localSheetId="10" hidden="1">'Securities by Issuer'!$A$1:$AG$37</definedName>
    <definedName name="Z_A9134056_6B1C_4A42_AFE9_9712EF3EF3D4_.wvu.PrintArea" localSheetId="7" hidden="1">'Statement Income '!$A$1:$A$41</definedName>
    <definedName name="Z_A9134056_6B1C_4A42_AFE9_9712EF3EF3D4_.wvu.PrintArea" localSheetId="0" hidden="1">Sumário!$B$6:$D$14</definedName>
    <definedName name="Z_A9134056_6B1C_4A42_AFE9_9712EF3EF3D4_.wvu.PrintArea" localSheetId="23" hidden="1">'Tax Credits'!$A$1:$AK$39</definedName>
    <definedName name="Z_A9134056_6B1C_4A42_AFE9_9712EF3EF3D4_.wvu.PrintTitles" localSheetId="4" hidden="1">' Recurring Income Statement'!$A:$A,' Recurring Income Statement'!$1:$4</definedName>
    <definedName name="Z_A9134056_6B1C_4A42_AFE9_9712EF3EF3D4_.wvu.PrintTitles" localSheetId="13" hidden="1">'Activity Sector (current)'!$A:$A</definedName>
    <definedName name="Z_A9134056_6B1C_4A42_AFE9_9712EF3EF3D4_.wvu.PrintTitles" localSheetId="12" hidden="1">'Activity Sector (former)'!$A:$A</definedName>
    <definedName name="Z_A9134056_6B1C_4A42_AFE9_9712EF3EF3D4_.wvu.PrintTitles" localSheetId="30" hidden="1">'Adjusted Net Interest Income'!$A:$A</definedName>
    <definedName name="Z_A9134056_6B1C_4A42_AFE9_9712EF3EF3D4_.wvu.PrintTitles" localSheetId="20" hidden="1">'Allowance for Loan Losses - PDD'!$A:$B</definedName>
    <definedName name="Z_A9134056_6B1C_4A42_AFE9_9712EF3EF3D4_.wvu.PrintTitles" localSheetId="8" hidden="1">'Balance Sheet by Currency'!$A:$A</definedName>
    <definedName name="Z_A9134056_6B1C_4A42_AFE9_9712EF3EF3D4_.wvu.PrintTitles" localSheetId="37" hidden="1">'Capital Adequacy Ratio'!$A:$A</definedName>
    <definedName name="Z_A9134056_6B1C_4A42_AFE9_9712EF3EF3D4_.wvu.PrintTitles" localSheetId="18" hidden="1">'Consumer Financing'!$A:$A</definedName>
    <definedName name="Z_A9134056_6B1C_4A42_AFE9_9712EF3EF3D4_.wvu.PrintTitles" localSheetId="36" hidden="1">'Coverage Ratio (12 months)'!$A:$A</definedName>
    <definedName name="Z_A9134056_6B1C_4A42_AFE9_9712EF3EF3D4_.wvu.PrintTitles" localSheetId="35" hidden="1">'Efficiency Ratio (12 months)'!$A:$A</definedName>
    <definedName name="Z_A9134056_6B1C_4A42_AFE9_9712EF3EF3D4_.wvu.PrintTitles" localSheetId="21" hidden="1">'Expense of Provision'!$A:$A</definedName>
    <definedName name="Z_A9134056_6B1C_4A42_AFE9_9712EF3EF3D4_.wvu.PrintTitles" localSheetId="31" hidden="1">'Fee and Commission Income'!$A:$A</definedName>
    <definedName name="Z_A9134056_6B1C_4A42_AFE9_9712EF3EF3D4_.wvu.PrintTitles" localSheetId="24" hidden="1">'Funding and Assets Managed'!$A:$A</definedName>
    <definedName name="Z_A9134056_6B1C_4A42_AFE9_9712EF3EF3D4_.wvu.PrintTitles" localSheetId="29" hidden="1">'Income Breakdown by Segment'!$A:$A</definedName>
    <definedName name="Z_A9134056_6B1C_4A42_AFE9_9712EF3EF3D4_.wvu.PrintTitles" localSheetId="28" hidden="1">'Income From Insurance'!$A:$A</definedName>
    <definedName name="Z_A9134056_6B1C_4A42_AFE9_9712EF3EF3D4_.wvu.PrintTitles" localSheetId="19" hidden="1">'Largest Borrowers'!$A:$A</definedName>
    <definedName name="Z_A9134056_6B1C_4A42_AFE9_9712EF3EF3D4_.wvu.PrintTitles" localSheetId="25" hidden="1">'Liability Contingencies'!$A:$A</definedName>
    <definedName name="Z_A9134056_6B1C_4A42_AFE9_9712EF3EF3D4_.wvu.PrintTitles" localSheetId="11" hidden="1">'Loan Operations'!$A:$A</definedName>
    <definedName name="Z_A9134056_6B1C_4A42_AFE9_9712EF3EF3D4_.wvu.PrintTitles" localSheetId="38" hidden="1">'Loan Portfolio - Indicators'!$A:$A</definedName>
    <definedName name="Z_A9134056_6B1C_4A42_AFE9_9712EF3EF3D4_.wvu.PrintTitles" localSheetId="33" hidden="1">'Other Administrative Expenses'!$A:$A</definedName>
    <definedName name="Z_A9134056_6B1C_4A42_AFE9_9712EF3EF3D4_.wvu.PrintTitles" localSheetId="22" hidden="1">'PDD Movement'!$A:$A</definedName>
    <definedName name="Z_A9134056_6B1C_4A42_AFE9_9712EF3EF3D4_.wvu.PrintTitles" localSheetId="34" hidden="1">'Performance Ratios'!$A:$A</definedName>
    <definedName name="Z_A9134056_6B1C_4A42_AFE9_9712EF3EF3D4_.wvu.PrintTitles" localSheetId="32" hidden="1">'Personnel Expenses'!$A:$A</definedName>
    <definedName name="Z_A9134056_6B1C_4A42_AFE9_9712EF3EF3D4_.wvu.PrintTitles" localSheetId="15" hidden="1">'Portfolio by Company Size (exp)'!$A:$A</definedName>
    <definedName name="Z_A9134056_6B1C_4A42_AFE9_9712EF3EF3D4_.wvu.PrintTitles" localSheetId="16" hidden="1">'Portfolio by Type (Bacen)'!$A:$A</definedName>
    <definedName name="Z_A9134056_6B1C_4A42_AFE9_9712EF3EF3D4_.wvu.PrintTitles" localSheetId="17" hidden="1">'Portfolio by Type (exp)'!$A:$A</definedName>
    <definedName name="Z_A9134056_6B1C_4A42_AFE9_9712EF3EF3D4_.wvu.PrintTitles" localSheetId="26" hidden="1">'Provisions by Account'!$A:$A</definedName>
    <definedName name="Z_A9134056_6B1C_4A42_AFE9_9712EF3EF3D4_.wvu.PrintTitles" localSheetId="9" hidden="1">Securities!$A:$A</definedName>
    <definedName name="Z_A9134056_6B1C_4A42_AFE9_9712EF3EF3D4_.wvu.PrintTitles" localSheetId="10" hidden="1">'Securities by Issuer'!$A:$A</definedName>
    <definedName name="Z_A9134056_6B1C_4A42_AFE9_9712EF3EF3D4_.wvu.PrintTitles" localSheetId="7" hidden="1">'Statement Income '!$A:$A,'Statement Income '!$1:$4</definedName>
    <definedName name="Z_A9134056_6B1C_4A42_AFE9_9712EF3EF3D4_.wvu.PrintTitles" localSheetId="23" hidden="1">'Tax Credits'!$A:$A</definedName>
    <definedName name="Z_B7440494_8EA9_4463_9947_E5D20E74049D_.wvu.PrintArea" localSheetId="4" hidden="1">' Recurring Income Statement'!$A$1:$AX$38</definedName>
    <definedName name="Z_B7440494_8EA9_4463_9947_E5D20E74049D_.wvu.PrintArea" localSheetId="13" hidden="1">'Activity Sector (current)'!$A$1:$A$19</definedName>
    <definedName name="Z_B7440494_8EA9_4463_9947_E5D20E74049D_.wvu.PrintArea" localSheetId="12" hidden="1">'Activity Sector (former)'!$A$1:$AO$22</definedName>
    <definedName name="Z_B7440494_8EA9_4463_9947_E5D20E74049D_.wvu.PrintArea" localSheetId="30" hidden="1">'Adjusted Net Interest Income'!$A$2:$AP$22</definedName>
    <definedName name="Z_B7440494_8EA9_4463_9947_E5D20E74049D_.wvu.PrintArea" localSheetId="20" hidden="1">'Allowance for Loan Losses - PDD'!$A$5:$CD$24</definedName>
    <definedName name="Z_B7440494_8EA9_4463_9947_E5D20E74049D_.wvu.PrintArea" localSheetId="8" hidden="1">'Balance Sheet by Currency'!$A$1:$DQ$51</definedName>
    <definedName name="Z_B7440494_8EA9_4463_9947_E5D20E74049D_.wvu.PrintArea" localSheetId="37" hidden="1">'Capital Adequacy Ratio'!$A$1:$BP$26</definedName>
    <definedName name="Z_B7440494_8EA9_4463_9947_E5D20E74049D_.wvu.PrintArea" localSheetId="18" hidden="1">'Consumer Financing'!$A$1:$AO$17</definedName>
    <definedName name="Z_B7440494_8EA9_4463_9947_E5D20E74049D_.wvu.PrintArea" localSheetId="36" hidden="1">'Coverage Ratio (12 months)'!$A$2:$AO$19</definedName>
    <definedName name="Z_B7440494_8EA9_4463_9947_E5D20E74049D_.wvu.PrintArea" localSheetId="35" hidden="1">'Efficiency Ratio (12 months)'!$A$2:$AO$36</definedName>
    <definedName name="Z_B7440494_8EA9_4463_9947_E5D20E74049D_.wvu.PrintArea" localSheetId="21" hidden="1">'Expense of Provision'!$A$1:$A$14</definedName>
    <definedName name="Z_B7440494_8EA9_4463_9947_E5D20E74049D_.wvu.PrintArea" localSheetId="31" hidden="1">'Fee and Commission Income'!$A$2:$AO$21</definedName>
    <definedName name="Z_B7440494_8EA9_4463_9947_E5D20E74049D_.wvu.PrintArea" localSheetId="24" hidden="1">'Funding and Assets Managed'!$A$2:$AO$29</definedName>
    <definedName name="Z_B7440494_8EA9_4463_9947_E5D20E74049D_.wvu.PrintArea" localSheetId="29" hidden="1">'Income Breakdown by Segment'!$A$2:$AO$15</definedName>
    <definedName name="Z_B7440494_8EA9_4463_9947_E5D20E74049D_.wvu.PrintArea" localSheetId="28" hidden="1">'Income From Insurance'!$A$2:$B$23</definedName>
    <definedName name="Z_B7440494_8EA9_4463_9947_E5D20E74049D_.wvu.PrintArea" localSheetId="19" hidden="1">'Largest Borrowers'!$A$1:$CC$18</definedName>
    <definedName name="Z_B7440494_8EA9_4463_9947_E5D20E74049D_.wvu.PrintArea" localSheetId="25" hidden="1">'Liability Contingencies'!$A$2:$AO$16</definedName>
    <definedName name="Z_B7440494_8EA9_4463_9947_E5D20E74049D_.wvu.PrintArea" localSheetId="11" hidden="1">'Loan Operations'!$A$1:$CC$23</definedName>
    <definedName name="Z_B7440494_8EA9_4463_9947_E5D20E74049D_.wvu.PrintArea" localSheetId="38" hidden="1">'Loan Portfolio - Indicators'!$A$1:$AO$42</definedName>
    <definedName name="Z_B7440494_8EA9_4463_9947_E5D20E74049D_.wvu.PrintArea" localSheetId="33" hidden="1">'Other Administrative Expenses'!$A$2:$AO$26</definedName>
    <definedName name="Z_B7440494_8EA9_4463_9947_E5D20E74049D_.wvu.PrintArea" localSheetId="22" hidden="1">'PDD Movement'!$A$1:$AO$17</definedName>
    <definedName name="Z_B7440494_8EA9_4463_9947_E5D20E74049D_.wvu.PrintArea" localSheetId="34" hidden="1">'Performance Ratios'!$A$3:$AO$34</definedName>
    <definedName name="Z_B7440494_8EA9_4463_9947_E5D20E74049D_.wvu.PrintArea" localSheetId="32" hidden="1">'Personnel Expenses'!$A$2:$AO$21</definedName>
    <definedName name="Z_B7440494_8EA9_4463_9947_E5D20E74049D_.wvu.PrintArea" localSheetId="15" hidden="1">'Portfolio by Company Size (exp)'!$A$1:$N$15</definedName>
    <definedName name="Z_B7440494_8EA9_4463_9947_E5D20E74049D_.wvu.PrintArea" localSheetId="17" hidden="1">'Portfolio by Type (exp)'!$A$1:$AO$35</definedName>
    <definedName name="Z_B7440494_8EA9_4463_9947_E5D20E74049D_.wvu.PrintArea" localSheetId="26" hidden="1">'Provisions by Account'!$A$2:$AO$23</definedName>
    <definedName name="Z_B7440494_8EA9_4463_9947_E5D20E74049D_.wvu.PrintArea" localSheetId="9" hidden="1">Securities!$A$1:$AO$22</definedName>
    <definedName name="Z_B7440494_8EA9_4463_9947_E5D20E74049D_.wvu.PrintArea" localSheetId="10" hidden="1">'Securities by Issuer'!$A$1:$AO$37</definedName>
    <definedName name="Z_B7440494_8EA9_4463_9947_E5D20E74049D_.wvu.PrintArea" localSheetId="7" hidden="1">'Statement Income '!$A$1:$F$41</definedName>
    <definedName name="Z_B7440494_8EA9_4463_9947_E5D20E74049D_.wvu.PrintArea" localSheetId="0" hidden="1">Sumário!$B$6:$D$14</definedName>
    <definedName name="Z_B7440494_8EA9_4463_9947_E5D20E74049D_.wvu.PrintArea" localSheetId="23" hidden="1">'Tax Credits'!$A$1:$AO$38</definedName>
    <definedName name="Z_B7440494_8EA9_4463_9947_E5D20E74049D_.wvu.PrintTitles" localSheetId="4" hidden="1">' Recurring Income Statement'!$A:$A,' Recurring Income Statement'!$1:$4</definedName>
    <definedName name="Z_B7440494_8EA9_4463_9947_E5D20E74049D_.wvu.PrintTitles" localSheetId="13" hidden="1">'Activity Sector (current)'!$A:$A</definedName>
    <definedName name="Z_B7440494_8EA9_4463_9947_E5D20E74049D_.wvu.PrintTitles" localSheetId="12" hidden="1">'Activity Sector (former)'!$A:$A</definedName>
    <definedName name="Z_B7440494_8EA9_4463_9947_E5D20E74049D_.wvu.PrintTitles" localSheetId="30" hidden="1">'Adjusted Net Interest Income'!$A:$A</definedName>
    <definedName name="Z_B7440494_8EA9_4463_9947_E5D20E74049D_.wvu.PrintTitles" localSheetId="20" hidden="1">'Allowance for Loan Losses - PDD'!$A:$B</definedName>
    <definedName name="Z_B7440494_8EA9_4463_9947_E5D20E74049D_.wvu.PrintTitles" localSheetId="8" hidden="1">'Balance Sheet by Currency'!$A:$A</definedName>
    <definedName name="Z_B7440494_8EA9_4463_9947_E5D20E74049D_.wvu.PrintTitles" localSheetId="37" hidden="1">'Capital Adequacy Ratio'!$A:$A</definedName>
    <definedName name="Z_B7440494_8EA9_4463_9947_E5D20E74049D_.wvu.PrintTitles" localSheetId="18" hidden="1">'Consumer Financing'!$A:$A</definedName>
    <definedName name="Z_B7440494_8EA9_4463_9947_E5D20E74049D_.wvu.PrintTitles" localSheetId="36" hidden="1">'Coverage Ratio (12 months)'!$A:$A</definedName>
    <definedName name="Z_B7440494_8EA9_4463_9947_E5D20E74049D_.wvu.PrintTitles" localSheetId="35" hidden="1">'Efficiency Ratio (12 months)'!$A:$A</definedName>
    <definedName name="Z_B7440494_8EA9_4463_9947_E5D20E74049D_.wvu.PrintTitles" localSheetId="21" hidden="1">'Expense of Provision'!$A:$A</definedName>
    <definedName name="Z_B7440494_8EA9_4463_9947_E5D20E74049D_.wvu.PrintTitles" localSheetId="31" hidden="1">'Fee and Commission Income'!$A:$A</definedName>
    <definedName name="Z_B7440494_8EA9_4463_9947_E5D20E74049D_.wvu.PrintTitles" localSheetId="24" hidden="1">'Funding and Assets Managed'!$A:$A</definedName>
    <definedName name="Z_B7440494_8EA9_4463_9947_E5D20E74049D_.wvu.PrintTitles" localSheetId="29" hidden="1">'Income Breakdown by Segment'!$A:$A</definedName>
    <definedName name="Z_B7440494_8EA9_4463_9947_E5D20E74049D_.wvu.PrintTitles" localSheetId="28" hidden="1">'Income From Insurance'!$A:$A</definedName>
    <definedName name="Z_B7440494_8EA9_4463_9947_E5D20E74049D_.wvu.PrintTitles" localSheetId="19" hidden="1">'Largest Borrowers'!$A:$A</definedName>
    <definedName name="Z_B7440494_8EA9_4463_9947_E5D20E74049D_.wvu.PrintTitles" localSheetId="25" hidden="1">'Liability Contingencies'!$A:$A</definedName>
    <definedName name="Z_B7440494_8EA9_4463_9947_E5D20E74049D_.wvu.PrintTitles" localSheetId="11" hidden="1">'Loan Operations'!$A:$A</definedName>
    <definedName name="Z_B7440494_8EA9_4463_9947_E5D20E74049D_.wvu.PrintTitles" localSheetId="38" hidden="1">'Loan Portfolio - Indicators'!$A:$A</definedName>
    <definedName name="Z_B7440494_8EA9_4463_9947_E5D20E74049D_.wvu.PrintTitles" localSheetId="33" hidden="1">'Other Administrative Expenses'!$A:$A</definedName>
    <definedName name="Z_B7440494_8EA9_4463_9947_E5D20E74049D_.wvu.PrintTitles" localSheetId="22" hidden="1">'PDD Movement'!$A:$A</definedName>
    <definedName name="Z_B7440494_8EA9_4463_9947_E5D20E74049D_.wvu.PrintTitles" localSheetId="34" hidden="1">'Performance Ratios'!$A:$A</definedName>
    <definedName name="Z_B7440494_8EA9_4463_9947_E5D20E74049D_.wvu.PrintTitles" localSheetId="32" hidden="1">'Personnel Expenses'!$A:$A</definedName>
    <definedName name="Z_B7440494_8EA9_4463_9947_E5D20E74049D_.wvu.PrintTitles" localSheetId="15" hidden="1">'Portfolio by Company Size (exp)'!$A:$A</definedName>
    <definedName name="Z_B7440494_8EA9_4463_9947_E5D20E74049D_.wvu.PrintTitles" localSheetId="17" hidden="1">'Portfolio by Type (exp)'!$A:$A</definedName>
    <definedName name="Z_B7440494_8EA9_4463_9947_E5D20E74049D_.wvu.PrintTitles" localSheetId="26" hidden="1">'Provisions by Account'!$A:$A</definedName>
    <definedName name="Z_B7440494_8EA9_4463_9947_E5D20E74049D_.wvu.PrintTitles" localSheetId="9" hidden="1">Securities!$A:$A</definedName>
    <definedName name="Z_B7440494_8EA9_4463_9947_E5D20E74049D_.wvu.PrintTitles" localSheetId="10" hidden="1">'Securities by Issuer'!$A:$A</definedName>
    <definedName name="Z_B7440494_8EA9_4463_9947_E5D20E74049D_.wvu.PrintTitles" localSheetId="7" hidden="1">'Statement Income '!$A:$A,'Statement Income '!$1:$4</definedName>
    <definedName name="Z_B7440494_8EA9_4463_9947_E5D20E74049D_.wvu.PrintTitles" localSheetId="23" hidden="1">'Tax Credits'!$A:$A</definedName>
  </definedNames>
  <calcPr calcId="152511"/>
  <customWorkbookViews>
    <customWorkbookView name="Banco Bradesco S.A. - Modo de exibição pessoal" guid="{B7440494-8EA9-4463-9947-E5D20E74049D}" mergeInterval="0" personalView="1" maximized="1" xWindow="-11" yWindow="-11" windowWidth="1942" windowHeight="1046" tabRatio="783" activeSheetId="3"/>
    <customWorkbookView name="Administrador - Modo de exibição pessoal" guid="{6D89F6EF-F5AD-478F-979A-5AF1BC78EF91}" mergeInterval="0" personalView="1" maximized="1" windowWidth="1276" windowHeight="776" tabRatio="860" activeSheetId="22"/>
    <customWorkbookView name="Banco Bradesco - Modo de exibição pessoal" guid="{A9134056-6B1C-4A42-AFE9-9712EF3EF3D4}" mergeInterval="0" personalView="1" maximized="1" xWindow="-8" yWindow="-8" windowWidth="1382" windowHeight="744" tabRatio="860" activeSheetId="3"/>
  </customWorkbookViews>
</workbook>
</file>

<file path=xl/calcChain.xml><?xml version="1.0" encoding="utf-8"?>
<calcChain xmlns="http://schemas.openxmlformats.org/spreadsheetml/2006/main">
  <c r="AP37" i="5" l="1"/>
  <c r="AQ37" i="5"/>
  <c r="AR37" i="5"/>
  <c r="AS37" i="5"/>
  <c r="AT37" i="5"/>
  <c r="AU37" i="5"/>
  <c r="AV37" i="5"/>
  <c r="AW37" i="5"/>
  <c r="AX37" i="5"/>
  <c r="AY37" i="5"/>
  <c r="AZ37" i="5"/>
  <c r="BA37" i="5"/>
  <c r="BB37" i="5"/>
  <c r="BC37" i="5"/>
  <c r="BD37" i="5"/>
  <c r="AK37" i="5"/>
  <c r="AL37" i="5"/>
  <c r="AM37" i="5"/>
  <c r="AN37" i="5"/>
  <c r="AO37" i="5"/>
  <c r="AF37" i="5"/>
  <c r="AG37" i="5"/>
  <c r="AH37" i="5"/>
  <c r="AI37" i="5"/>
  <c r="AJ37" i="5"/>
  <c r="AA37" i="5"/>
  <c r="AB37" i="5"/>
  <c r="AC37" i="5"/>
  <c r="AD37" i="5"/>
  <c r="AE37" i="5"/>
  <c r="Y37" i="5"/>
  <c r="Z37" i="5"/>
  <c r="V37" i="5"/>
  <c r="W37" i="5"/>
  <c r="X37" i="5"/>
  <c r="U37" i="5"/>
  <c r="T37" i="5"/>
  <c r="R37" i="5"/>
  <c r="S37" i="5"/>
  <c r="Q37" i="5"/>
  <c r="N37" i="5"/>
  <c r="O37" i="5"/>
  <c r="P37" i="5"/>
  <c r="L37" i="5"/>
  <c r="M37" i="5"/>
  <c r="K37" i="5"/>
  <c r="G37" i="5"/>
  <c r="H37" i="5"/>
  <c r="I37" i="5"/>
  <c r="J37" i="5"/>
  <c r="C37" i="5"/>
  <c r="D37" i="5"/>
  <c r="E37" i="5"/>
  <c r="F37" i="5"/>
  <c r="BD24" i="5"/>
  <c r="BD25" i="5"/>
  <c r="AY24" i="5"/>
  <c r="AY25" i="5"/>
  <c r="AT24" i="5"/>
  <c r="AT25" i="5"/>
  <c r="AO24" i="5"/>
  <c r="AO25" i="5"/>
  <c r="AJ24" i="5"/>
  <c r="AJ25" i="5"/>
  <c r="AE24" i="5"/>
  <c r="AE25" i="5"/>
  <c r="Z24" i="5"/>
  <c r="Z25" i="5"/>
  <c r="U24" i="5"/>
  <c r="U25" i="5"/>
  <c r="P24" i="5"/>
  <c r="P25" i="5"/>
  <c r="K24" i="5"/>
  <c r="K25" i="5"/>
  <c r="F24" i="5"/>
  <c r="F25" i="5"/>
  <c r="J67" i="41" l="1"/>
  <c r="I67" i="41"/>
  <c r="H67" i="41"/>
  <c r="H56" i="41" s="1"/>
  <c r="G67" i="41"/>
  <c r="F67" i="41"/>
  <c r="E67" i="41"/>
  <c r="D67" i="41"/>
  <c r="D56" i="41" s="1"/>
  <c r="C67" i="41"/>
  <c r="B67" i="41"/>
  <c r="J63" i="41"/>
  <c r="I63" i="41"/>
  <c r="I56" i="41" s="1"/>
  <c r="H63" i="41"/>
  <c r="G63" i="41"/>
  <c r="F63" i="41"/>
  <c r="E63" i="41"/>
  <c r="E56" i="41" s="1"/>
  <c r="D63" i="41"/>
  <c r="C63" i="41"/>
  <c r="B63" i="41"/>
  <c r="J57" i="41"/>
  <c r="J56" i="41" s="1"/>
  <c r="I57" i="41"/>
  <c r="H57" i="41"/>
  <c r="G57" i="41"/>
  <c r="F57" i="41"/>
  <c r="F56" i="41" s="1"/>
  <c r="E57" i="41"/>
  <c r="D57" i="41"/>
  <c r="C57" i="41"/>
  <c r="B57" i="41"/>
  <c r="B56" i="41" s="1"/>
  <c r="G56" i="41"/>
  <c r="C56" i="41"/>
  <c r="I55" i="41"/>
  <c r="J52" i="41"/>
  <c r="I52" i="41"/>
  <c r="H52" i="41"/>
  <c r="G52" i="41"/>
  <c r="F52" i="41"/>
  <c r="E52" i="41"/>
  <c r="E10" i="41" s="1"/>
  <c r="D52" i="41"/>
  <c r="C52" i="41"/>
  <c r="B52" i="41"/>
  <c r="I51" i="41"/>
  <c r="I50" i="41"/>
  <c r="I47" i="41"/>
  <c r="I46" i="41"/>
  <c r="I43" i="41" s="1"/>
  <c r="J43" i="41"/>
  <c r="H43" i="41"/>
  <c r="G43" i="41"/>
  <c r="F43" i="41"/>
  <c r="E43" i="41"/>
  <c r="D43" i="41"/>
  <c r="C43" i="41"/>
  <c r="B43" i="41"/>
  <c r="I42" i="41"/>
  <c r="I41" i="41"/>
  <c r="I40" i="41"/>
  <c r="I38" i="41" s="1"/>
  <c r="J38" i="41"/>
  <c r="H38" i="41"/>
  <c r="G38" i="41"/>
  <c r="F38" i="41"/>
  <c r="E38" i="41"/>
  <c r="D38" i="41"/>
  <c r="C38" i="41"/>
  <c r="B38" i="41"/>
  <c r="I37" i="41"/>
  <c r="I36" i="41"/>
  <c r="I35" i="41"/>
  <c r="I34" i="41"/>
  <c r="I32" i="41" s="1"/>
  <c r="J32" i="41"/>
  <c r="H32" i="41"/>
  <c r="G32" i="41"/>
  <c r="F32" i="41"/>
  <c r="E32" i="41"/>
  <c r="D32" i="41"/>
  <c r="C32" i="41"/>
  <c r="B32" i="41"/>
  <c r="J30" i="41"/>
  <c r="I30" i="41"/>
  <c r="H30" i="41"/>
  <c r="G30" i="41"/>
  <c r="F30" i="41"/>
  <c r="E30" i="41"/>
  <c r="D30" i="41"/>
  <c r="C30" i="41"/>
  <c r="B30" i="41"/>
  <c r="I28" i="41"/>
  <c r="I24" i="41" s="1"/>
  <c r="J24" i="41"/>
  <c r="H24" i="41"/>
  <c r="G24" i="41"/>
  <c r="F24" i="41"/>
  <c r="F10" i="41" s="1"/>
  <c r="E24" i="41"/>
  <c r="D24" i="41"/>
  <c r="C24" i="41"/>
  <c r="B24" i="41"/>
  <c r="B10" i="41" s="1"/>
  <c r="I22" i="41"/>
  <c r="I19" i="41"/>
  <c r="I18" i="41"/>
  <c r="I17" i="41"/>
  <c r="I16" i="41" s="1"/>
  <c r="J16" i="41"/>
  <c r="H16" i="41"/>
  <c r="G16" i="41"/>
  <c r="G10" i="41" s="1"/>
  <c r="F16" i="41"/>
  <c r="E16" i="41"/>
  <c r="D16" i="41"/>
  <c r="C16" i="41"/>
  <c r="B16" i="41"/>
  <c r="I14" i="41"/>
  <c r="J12" i="41"/>
  <c r="I12" i="41"/>
  <c r="I10" i="41" s="1"/>
  <c r="F12" i="41"/>
  <c r="E12" i="41"/>
  <c r="D12" i="41"/>
  <c r="C12" i="41"/>
  <c r="C10" i="41" s="1"/>
  <c r="B12" i="41"/>
  <c r="H10" i="41"/>
  <c r="D10" i="41"/>
  <c r="F10" i="42"/>
  <c r="F66" i="42" s="1"/>
  <c r="B11" i="42"/>
  <c r="C11" i="42"/>
  <c r="C10" i="42" s="1"/>
  <c r="C66" i="42" s="1"/>
  <c r="D11" i="42"/>
  <c r="E11" i="42"/>
  <c r="E10" i="42" s="1"/>
  <c r="E66" i="42" s="1"/>
  <c r="F11" i="42"/>
  <c r="G11" i="42"/>
  <c r="G10" i="42" s="1"/>
  <c r="G66" i="42" s="1"/>
  <c r="H11" i="42"/>
  <c r="H10" i="42" s="1"/>
  <c r="H66" i="42" s="1"/>
  <c r="I11" i="42"/>
  <c r="J11" i="42"/>
  <c r="I14" i="42"/>
  <c r="I15" i="42"/>
  <c r="B17" i="42"/>
  <c r="B10" i="42" s="1"/>
  <c r="B66" i="42" s="1"/>
  <c r="C17" i="42"/>
  <c r="D17" i="42"/>
  <c r="E17" i="42"/>
  <c r="F17" i="42"/>
  <c r="G17" i="42"/>
  <c r="H17" i="42"/>
  <c r="I17" i="42"/>
  <c r="J17" i="42"/>
  <c r="J10" i="42" s="1"/>
  <c r="J66" i="42" s="1"/>
  <c r="I18" i="42"/>
  <c r="B21" i="42"/>
  <c r="C21" i="42"/>
  <c r="D21" i="42"/>
  <c r="E21" i="42"/>
  <c r="F21" i="42"/>
  <c r="G21" i="42"/>
  <c r="H21" i="42"/>
  <c r="J21" i="42"/>
  <c r="I22" i="42"/>
  <c r="I21" i="42" s="1"/>
  <c r="I23" i="42"/>
  <c r="I24" i="42"/>
  <c r="B25" i="42"/>
  <c r="C25" i="42"/>
  <c r="D25" i="42"/>
  <c r="E25" i="42"/>
  <c r="F25" i="42"/>
  <c r="G25" i="42"/>
  <c r="H25" i="42"/>
  <c r="I25" i="42"/>
  <c r="J25" i="42"/>
  <c r="B28" i="42"/>
  <c r="C28" i="42"/>
  <c r="D28" i="42"/>
  <c r="E28" i="42"/>
  <c r="F28" i="42"/>
  <c r="G28" i="42"/>
  <c r="H28" i="42"/>
  <c r="J28" i="42"/>
  <c r="I29" i="42"/>
  <c r="I28" i="42" s="1"/>
  <c r="B30" i="42"/>
  <c r="C30" i="42"/>
  <c r="D30" i="42"/>
  <c r="E30" i="42"/>
  <c r="F30" i="42"/>
  <c r="G30" i="42"/>
  <c r="H30" i="42"/>
  <c r="I30" i="42"/>
  <c r="J30" i="42"/>
  <c r="I31" i="42"/>
  <c r="I32" i="42"/>
  <c r="B33" i="42"/>
  <c r="C33" i="42"/>
  <c r="E33" i="42"/>
  <c r="F33" i="42"/>
  <c r="G33" i="42"/>
  <c r="H33" i="42"/>
  <c r="I33" i="42"/>
  <c r="J33" i="42"/>
  <c r="I35" i="42"/>
  <c r="I36" i="42"/>
  <c r="D37" i="42"/>
  <c r="D33" i="42" s="1"/>
  <c r="B38" i="42"/>
  <c r="C38" i="42"/>
  <c r="D38" i="42"/>
  <c r="E38" i="42"/>
  <c r="F38" i="42"/>
  <c r="G38" i="42"/>
  <c r="H38" i="42"/>
  <c r="I38" i="42"/>
  <c r="J38" i="42"/>
  <c r="I40" i="42"/>
  <c r="I41" i="42"/>
  <c r="B42" i="42"/>
  <c r="C42" i="42"/>
  <c r="D42" i="42"/>
  <c r="E42" i="42"/>
  <c r="F42" i="42"/>
  <c r="G42" i="42"/>
  <c r="J42" i="42"/>
  <c r="I46" i="42"/>
  <c r="I42" i="42" s="1"/>
  <c r="I49" i="42"/>
  <c r="H51" i="42"/>
  <c r="H42" i="42" s="1"/>
  <c r="I51" i="42"/>
  <c r="B52" i="42"/>
  <c r="C52" i="42"/>
  <c r="D52" i="42"/>
  <c r="E52" i="42"/>
  <c r="G52" i="42"/>
  <c r="H52" i="42"/>
  <c r="I52" i="42"/>
  <c r="J52" i="42"/>
  <c r="B55" i="42"/>
  <c r="C55" i="42"/>
  <c r="D55" i="42"/>
  <c r="E55" i="42"/>
  <c r="F55" i="42"/>
  <c r="G55" i="42"/>
  <c r="H55" i="42"/>
  <c r="I55" i="42"/>
  <c r="J55" i="42"/>
  <c r="J10" i="41" l="1"/>
  <c r="D10" i="42"/>
  <c r="D66" i="42" s="1"/>
  <c r="I10" i="42"/>
  <c r="I66" i="42" s="1"/>
  <c r="G28" i="45" l="1"/>
  <c r="F28" i="45"/>
  <c r="E28" i="45"/>
  <c r="D28" i="45"/>
  <c r="C28" i="45"/>
  <c r="G23" i="45"/>
  <c r="F23" i="45"/>
  <c r="E23" i="45"/>
  <c r="D23" i="45"/>
  <c r="C23" i="45"/>
  <c r="G18" i="45"/>
  <c r="F18" i="45"/>
  <c r="E18" i="45"/>
  <c r="D18" i="45"/>
  <c r="C18" i="45"/>
  <c r="B28" i="45" l="1"/>
  <c r="BD35" i="5" l="1"/>
  <c r="AY35" i="5"/>
  <c r="AT35" i="5"/>
  <c r="AO35" i="5"/>
  <c r="AJ35" i="5"/>
  <c r="AE35" i="5"/>
  <c r="Z35" i="5"/>
  <c r="U35" i="5"/>
  <c r="P35" i="5"/>
  <c r="K35" i="5"/>
  <c r="F35" i="5"/>
  <c r="BD34" i="5"/>
  <c r="BD33" i="5"/>
  <c r="AY33" i="5"/>
  <c r="AT33" i="5"/>
  <c r="AO33" i="5"/>
  <c r="AJ33" i="5"/>
  <c r="AE33" i="5"/>
  <c r="Z33" i="5"/>
  <c r="U33" i="5"/>
  <c r="P33" i="5"/>
  <c r="K33" i="5"/>
  <c r="F33" i="5"/>
  <c r="BD32" i="5"/>
  <c r="BD30" i="5"/>
  <c r="BD29" i="5"/>
  <c r="AY29" i="5"/>
  <c r="AT29" i="5"/>
  <c r="AO29" i="5"/>
  <c r="AJ29" i="5"/>
  <c r="AE29" i="5"/>
  <c r="Z29" i="5"/>
  <c r="U29" i="5"/>
  <c r="P29" i="5"/>
  <c r="K29" i="5"/>
  <c r="F29" i="5"/>
  <c r="BD28" i="5"/>
  <c r="BD26" i="5"/>
  <c r="BD23" i="5"/>
  <c r="AY23" i="5"/>
  <c r="AT23" i="5"/>
  <c r="AO23" i="5"/>
  <c r="AJ23" i="5"/>
  <c r="AE23" i="5"/>
  <c r="Z23" i="5"/>
  <c r="U23" i="5"/>
  <c r="P23" i="5"/>
  <c r="K23" i="5"/>
  <c r="F23" i="5"/>
  <c r="BD22" i="5"/>
  <c r="AY22" i="5"/>
  <c r="AT22" i="5"/>
  <c r="AO22" i="5"/>
  <c r="AJ22" i="5"/>
  <c r="AE22" i="5"/>
  <c r="Z22" i="5"/>
  <c r="U22" i="5"/>
  <c r="P22" i="5"/>
  <c r="K22" i="5"/>
  <c r="F22" i="5"/>
  <c r="BD21" i="5"/>
  <c r="AY21" i="5"/>
  <c r="AT21" i="5"/>
  <c r="AO21" i="5"/>
  <c r="AJ21" i="5"/>
  <c r="AE21" i="5"/>
  <c r="Z21" i="5"/>
  <c r="U21" i="5"/>
  <c r="P21" i="5"/>
  <c r="K21" i="5"/>
  <c r="F21" i="5"/>
  <c r="BD20" i="5"/>
  <c r="AY20" i="5"/>
  <c r="AT20" i="5"/>
  <c r="AO20" i="5"/>
  <c r="AJ20" i="5"/>
  <c r="AE20" i="5"/>
  <c r="Z20" i="5"/>
  <c r="U20" i="5"/>
  <c r="P20" i="5"/>
  <c r="K20" i="5"/>
  <c r="F20" i="5"/>
  <c r="BD19" i="5"/>
  <c r="AY19" i="5"/>
  <c r="AT19" i="5"/>
  <c r="AO19" i="5"/>
  <c r="AJ19" i="5"/>
  <c r="AE19" i="5"/>
  <c r="Z19" i="5"/>
  <c r="U19" i="5"/>
  <c r="P19" i="5"/>
  <c r="K19" i="5"/>
  <c r="F19" i="5"/>
  <c r="BD18" i="5"/>
  <c r="AY18" i="5"/>
  <c r="AT18" i="5"/>
  <c r="AO18" i="5"/>
  <c r="AJ18" i="5"/>
  <c r="AE18" i="5"/>
  <c r="Z18" i="5"/>
  <c r="U18" i="5"/>
  <c r="P18" i="5"/>
  <c r="K18" i="5"/>
  <c r="F18" i="5"/>
  <c r="BD17" i="5"/>
  <c r="BC16" i="5"/>
  <c r="BC27" i="5" s="1"/>
  <c r="BC31" i="5" s="1"/>
  <c r="BB16" i="5"/>
  <c r="BA16" i="5"/>
  <c r="AZ16" i="5"/>
  <c r="AX16" i="5"/>
  <c r="AW16" i="5"/>
  <c r="AV16" i="5"/>
  <c r="AU16" i="5"/>
  <c r="AS16" i="5"/>
  <c r="AR16" i="5"/>
  <c r="AQ16" i="5"/>
  <c r="AP16" i="5"/>
  <c r="AN16" i="5"/>
  <c r="AM16" i="5"/>
  <c r="AL16" i="5"/>
  <c r="AK16" i="5"/>
  <c r="AI16" i="5"/>
  <c r="AI27" i="5" s="1"/>
  <c r="AI31" i="5" s="1"/>
  <c r="AH16" i="5"/>
  <c r="AG16" i="5"/>
  <c r="AF16" i="5"/>
  <c r="AD16" i="5"/>
  <c r="AC16" i="5"/>
  <c r="AB16" i="5"/>
  <c r="AA16" i="5"/>
  <c r="Y16" i="5"/>
  <c r="X16" i="5"/>
  <c r="W16" i="5"/>
  <c r="V16" i="5"/>
  <c r="T16" i="5"/>
  <c r="S16" i="5"/>
  <c r="R16" i="5"/>
  <c r="Q16" i="5"/>
  <c r="O16" i="5"/>
  <c r="O27" i="5" s="1"/>
  <c r="O31" i="5" s="1"/>
  <c r="N16" i="5"/>
  <c r="M16" i="5"/>
  <c r="L16" i="5"/>
  <c r="J16" i="5"/>
  <c r="I16" i="5"/>
  <c r="H16" i="5"/>
  <c r="G16" i="5"/>
  <c r="E16" i="5"/>
  <c r="D16" i="5"/>
  <c r="C16" i="5"/>
  <c r="B16" i="5"/>
  <c r="BD15" i="5"/>
  <c r="BC14" i="5"/>
  <c r="BB14" i="5"/>
  <c r="BB27" i="5" s="1"/>
  <c r="BB31" i="5" s="1"/>
  <c r="BA14" i="5"/>
  <c r="AZ14" i="5"/>
  <c r="AX14" i="5"/>
  <c r="AW14" i="5"/>
  <c r="AW27" i="5" s="1"/>
  <c r="AW31" i="5" s="1"/>
  <c r="AV14" i="5"/>
  <c r="AU14" i="5"/>
  <c r="AS14" i="5"/>
  <c r="AR14" i="5"/>
  <c r="AR27" i="5" s="1"/>
  <c r="AR31" i="5" s="1"/>
  <c r="AQ14" i="5"/>
  <c r="AP14" i="5"/>
  <c r="AN14" i="5"/>
  <c r="AM14" i="5"/>
  <c r="AL14" i="5"/>
  <c r="AK14" i="5"/>
  <c r="AI14" i="5"/>
  <c r="AH14" i="5"/>
  <c r="AH27" i="5" s="1"/>
  <c r="AH31" i="5" s="1"/>
  <c r="AG14" i="5"/>
  <c r="AF14" i="5"/>
  <c r="AD14" i="5"/>
  <c r="AC14" i="5"/>
  <c r="AC27" i="5" s="1"/>
  <c r="AC31" i="5" s="1"/>
  <c r="AB14" i="5"/>
  <c r="AA14" i="5"/>
  <c r="Y14" i="5"/>
  <c r="X14" i="5"/>
  <c r="X27" i="5" s="1"/>
  <c r="X31" i="5" s="1"/>
  <c r="W14" i="5"/>
  <c r="V14" i="5"/>
  <c r="T14" i="5"/>
  <c r="S14" i="5"/>
  <c r="R14" i="5"/>
  <c r="Q14" i="5"/>
  <c r="O14" i="5"/>
  <c r="N14" i="5"/>
  <c r="N27" i="5" s="1"/>
  <c r="N31" i="5" s="1"/>
  <c r="M14" i="5"/>
  <c r="L14" i="5"/>
  <c r="J14" i="5"/>
  <c r="I14" i="5"/>
  <c r="I27" i="5" s="1"/>
  <c r="I31" i="5" s="1"/>
  <c r="H14" i="5"/>
  <c r="G14" i="5"/>
  <c r="E14" i="5"/>
  <c r="D14" i="5"/>
  <c r="D27" i="5" s="1"/>
  <c r="D31" i="5" s="1"/>
  <c r="C14" i="5"/>
  <c r="B14" i="5"/>
  <c r="BD13" i="5"/>
  <c r="BD12" i="5"/>
  <c r="AY12" i="5"/>
  <c r="AY14" i="5" s="1"/>
  <c r="AT12" i="5"/>
  <c r="AT14" i="5" s="1"/>
  <c r="AO12" i="5"/>
  <c r="AO14" i="5" s="1"/>
  <c r="AJ12" i="5"/>
  <c r="AJ14" i="5" s="1"/>
  <c r="AE12" i="5"/>
  <c r="AE14" i="5" s="1"/>
  <c r="Z12" i="5"/>
  <c r="Z14" i="5" s="1"/>
  <c r="U12" i="5"/>
  <c r="U14" i="5" s="1"/>
  <c r="P12" i="5"/>
  <c r="P14" i="5" s="1"/>
  <c r="K12" i="5"/>
  <c r="K14" i="5" s="1"/>
  <c r="F12" i="5"/>
  <c r="F14" i="5" s="1"/>
  <c r="BD11" i="5"/>
  <c r="BD10" i="5"/>
  <c r="BD14" i="5" s="1"/>
  <c r="W27" i="5" l="1"/>
  <c r="W31" i="5" s="1"/>
  <c r="E27" i="5"/>
  <c r="E31" i="5" s="1"/>
  <c r="J27" i="5"/>
  <c r="J31" i="5" s="1"/>
  <c r="T27" i="5"/>
  <c r="T31" i="5" s="1"/>
  <c r="Y27" i="5"/>
  <c r="Y31" i="5" s="1"/>
  <c r="AD27" i="5"/>
  <c r="AD31" i="5" s="1"/>
  <c r="AN27" i="5"/>
  <c r="AN31" i="5" s="1"/>
  <c r="AS27" i="5"/>
  <c r="AS31" i="5" s="1"/>
  <c r="AX27" i="5"/>
  <c r="AX31" i="5" s="1"/>
  <c r="S27" i="5"/>
  <c r="S31" i="5" s="1"/>
  <c r="AM27" i="5"/>
  <c r="AM31" i="5" s="1"/>
  <c r="C27" i="5"/>
  <c r="C31" i="5" s="1"/>
  <c r="AQ27" i="5"/>
  <c r="AQ31" i="5" s="1"/>
  <c r="H27" i="5"/>
  <c r="H31" i="5" s="1"/>
  <c r="M27" i="5"/>
  <c r="M31" i="5" s="1"/>
  <c r="R27" i="5"/>
  <c r="R31" i="5" s="1"/>
  <c r="AB27" i="5"/>
  <c r="AB31" i="5" s="1"/>
  <c r="AG27" i="5"/>
  <c r="AG31" i="5" s="1"/>
  <c r="AL27" i="5"/>
  <c r="AL31" i="5" s="1"/>
  <c r="AV27" i="5"/>
  <c r="AV31" i="5" s="1"/>
  <c r="BA27" i="5"/>
  <c r="BA31" i="5" s="1"/>
  <c r="F16" i="5"/>
  <c r="K16" i="5"/>
  <c r="P16" i="5"/>
  <c r="U16" i="5"/>
  <c r="Z16" i="5"/>
  <c r="AE16" i="5"/>
  <c r="AJ16" i="5"/>
  <c r="AO16" i="5"/>
  <c r="AT16" i="5"/>
  <c r="AY16" i="5"/>
  <c r="BD16" i="5"/>
  <c r="G27" i="5"/>
  <c r="G31" i="5" s="1"/>
  <c r="AA27" i="5"/>
  <c r="AA31" i="5" s="1"/>
  <c r="AU27" i="5"/>
  <c r="AU31" i="5" s="1"/>
  <c r="AY31" i="5" s="1"/>
  <c r="B27" i="5"/>
  <c r="L27" i="5"/>
  <c r="Q27" i="5"/>
  <c r="Q31" i="5" s="1"/>
  <c r="U31" i="5" s="1"/>
  <c r="V27" i="5"/>
  <c r="V31" i="5" s="1"/>
  <c r="Z31" i="5" s="1"/>
  <c r="AF27" i="5"/>
  <c r="AF31" i="5" s="1"/>
  <c r="AK27" i="5"/>
  <c r="AK31" i="5" s="1"/>
  <c r="AP27" i="5"/>
  <c r="AT27" i="5" s="1"/>
  <c r="AZ27" i="5"/>
  <c r="AZ31" i="5" s="1"/>
  <c r="AJ27" i="5"/>
  <c r="Z27" i="5"/>
  <c r="AY27" i="5"/>
  <c r="AS32" i="37"/>
  <c r="AS21" i="37"/>
  <c r="AS19" i="37"/>
  <c r="AS10" i="37"/>
  <c r="AO31" i="5" l="1"/>
  <c r="P27" i="5"/>
  <c r="AP31" i="5"/>
  <c r="AT31" i="5" s="1"/>
  <c r="U27" i="5"/>
  <c r="AJ31" i="5"/>
  <c r="F27" i="5"/>
  <c r="BD27" i="5"/>
  <c r="BD31" i="5"/>
  <c r="B31" i="5"/>
  <c r="F31" i="5" s="1"/>
  <c r="AE31" i="5"/>
  <c r="AE27" i="5"/>
  <c r="K31" i="5"/>
  <c r="AO27" i="5"/>
  <c r="K27" i="5"/>
  <c r="L31" i="5"/>
  <c r="P31" i="5" s="1"/>
  <c r="AS28" i="46"/>
  <c r="AR28" i="46"/>
  <c r="AQ28" i="46"/>
  <c r="AQ19" i="46" s="1"/>
  <c r="AO28" i="46"/>
  <c r="AS19" i="46"/>
  <c r="AR19" i="46"/>
  <c r="AP19" i="46"/>
  <c r="AO19" i="46"/>
  <c r="AS18" i="46"/>
  <c r="AS10" i="46" s="1"/>
  <c r="AR18" i="46"/>
  <c r="AQ18" i="46"/>
  <c r="AO18" i="46"/>
  <c r="AO10" i="46" s="1"/>
  <c r="AR10" i="46"/>
  <c r="AQ10" i="46"/>
  <c r="AP10" i="46"/>
  <c r="L39" i="43" l="1"/>
  <c r="G39" i="43"/>
  <c r="L37" i="43"/>
  <c r="G37" i="43"/>
  <c r="J35" i="43"/>
  <c r="L33" i="43"/>
  <c r="G33" i="43"/>
  <c r="E33" i="43"/>
  <c r="K31" i="43"/>
  <c r="L29" i="43"/>
  <c r="G29" i="43"/>
  <c r="F29" i="43"/>
  <c r="L28" i="43"/>
  <c r="G28" i="43"/>
  <c r="L27" i="43"/>
  <c r="G27" i="43"/>
  <c r="L26" i="43"/>
  <c r="G26" i="43"/>
  <c r="L25" i="43"/>
  <c r="F25" i="43"/>
  <c r="G25" i="43" s="1"/>
  <c r="L24" i="43"/>
  <c r="G24" i="43"/>
  <c r="F24" i="43"/>
  <c r="L23" i="43"/>
  <c r="G23" i="43"/>
  <c r="F23" i="43"/>
  <c r="L22" i="43"/>
  <c r="G22" i="43"/>
  <c r="L21" i="43"/>
  <c r="G21" i="43"/>
  <c r="L20" i="43"/>
  <c r="G20" i="43"/>
  <c r="L19" i="43"/>
  <c r="G19" i="43"/>
  <c r="L18" i="43"/>
  <c r="F18" i="43"/>
  <c r="G18" i="43" s="1"/>
  <c r="K16" i="43"/>
  <c r="J16" i="43"/>
  <c r="I16" i="43"/>
  <c r="H16" i="43"/>
  <c r="L16" i="43" s="1"/>
  <c r="E16" i="43"/>
  <c r="D16" i="43"/>
  <c r="C16" i="43"/>
  <c r="B16" i="43"/>
  <c r="K14" i="43"/>
  <c r="I14" i="43"/>
  <c r="I31" i="43" s="1"/>
  <c r="I35" i="43" s="1"/>
  <c r="H14" i="43"/>
  <c r="L14" i="43" s="1"/>
  <c r="G14" i="43"/>
  <c r="J12" i="43"/>
  <c r="J14" i="43" s="1"/>
  <c r="J31" i="43" s="1"/>
  <c r="I12" i="43"/>
  <c r="D12" i="43"/>
  <c r="E12" i="43" s="1"/>
  <c r="F12" i="43" s="1"/>
  <c r="I10" i="43"/>
  <c r="L10" i="43" s="1"/>
  <c r="E10" i="43"/>
  <c r="D10" i="43"/>
  <c r="C10" i="43"/>
  <c r="C14" i="43" s="1"/>
  <c r="C31" i="43" s="1"/>
  <c r="C35" i="43" s="1"/>
  <c r="B10" i="43"/>
  <c r="B14" i="43" s="1"/>
  <c r="B31" i="43" s="1"/>
  <c r="B35" i="43" s="1"/>
  <c r="E14" i="43" l="1"/>
  <c r="E31" i="43" s="1"/>
  <c r="D14" i="43"/>
  <c r="D31" i="43" s="1"/>
  <c r="D35" i="43" s="1"/>
  <c r="L12" i="43"/>
  <c r="H31" i="43"/>
  <c r="F10" i="43"/>
  <c r="F14" i="43" s="1"/>
  <c r="F16" i="43"/>
  <c r="G16" i="43" s="1"/>
  <c r="F11" i="44"/>
  <c r="F10" i="44"/>
  <c r="F13" i="44" l="1"/>
  <c r="F17" i="44" s="1"/>
  <c r="G35" i="43"/>
  <c r="E35" i="43"/>
  <c r="F31" i="43"/>
  <c r="F35" i="43" s="1"/>
  <c r="L31" i="43"/>
  <c r="H35" i="43"/>
  <c r="L35" i="43" s="1"/>
  <c r="BT15" i="30"/>
  <c r="CJ20" i="34"/>
  <c r="CJ19" i="34"/>
  <c r="CJ18" i="34"/>
  <c r="CJ17" i="34"/>
  <c r="CJ16" i="34"/>
  <c r="CJ15" i="34"/>
  <c r="CJ14" i="34"/>
  <c r="CJ13" i="34"/>
  <c r="CJ12" i="34"/>
  <c r="E13" i="44"/>
  <c r="E17" i="44" s="1"/>
  <c r="AS20" i="35" l="1"/>
  <c r="AS10" i="35"/>
  <c r="E15" i="38"/>
  <c r="E14" i="38" s="1"/>
  <c r="E10" i="38"/>
  <c r="K41" i="43" l="1"/>
  <c r="AS13" i="31" l="1"/>
  <c r="AS10" i="31"/>
  <c r="AS14" i="23"/>
  <c r="AS22" i="18"/>
  <c r="AS10" i="18"/>
  <c r="EC26" i="6" l="1"/>
  <c r="EB26" i="6"/>
  <c r="EA26" i="6" s="1"/>
  <c r="EC19" i="6"/>
  <c r="EB19" i="6"/>
  <c r="EC12" i="6"/>
  <c r="EB12" i="6"/>
  <c r="EA12" i="6"/>
  <c r="EA19" i="6" l="1"/>
  <c r="AS25" i="28"/>
  <c r="AS20" i="40" l="1"/>
  <c r="AS19" i="20"/>
  <c r="AS18" i="20"/>
  <c r="AS16" i="20"/>
  <c r="AS14" i="20"/>
  <c r="AS13" i="20"/>
  <c r="AS11" i="20"/>
  <c r="AS10" i="20"/>
  <c r="AS20" i="17"/>
  <c r="AS25" i="17" s="1"/>
  <c r="AS31" i="17" s="1"/>
  <c r="AS32" i="8"/>
  <c r="AS19" i="8"/>
  <c r="AS10" i="8"/>
  <c r="AS59" i="32"/>
  <c r="AS56" i="32"/>
  <c r="AS47" i="32"/>
  <c r="AS43" i="32"/>
  <c r="AS37" i="32"/>
  <c r="AS33" i="32"/>
  <c r="AS31" i="32"/>
  <c r="AS27" i="32"/>
  <c r="AS21" i="32"/>
  <c r="AS17" i="32"/>
  <c r="AS11" i="32"/>
  <c r="AS75" i="3"/>
  <c r="AS72" i="3"/>
  <c r="AS69" i="3"/>
  <c r="AS59" i="3" s="1"/>
  <c r="AS65" i="3"/>
  <c r="AS60" i="3"/>
  <c r="AS55" i="3"/>
  <c r="AS54" i="3"/>
  <c r="AS53" i="3"/>
  <c r="AS50" i="3"/>
  <c r="AS49" i="3"/>
  <c r="AS46" i="3" s="1"/>
  <c r="AS45" i="3"/>
  <c r="AS44" i="3"/>
  <c r="AS43" i="3"/>
  <c r="AS40" i="3" s="1"/>
  <c r="AS39" i="3"/>
  <c r="AS38" i="3"/>
  <c r="AS34" i="3" s="1"/>
  <c r="AS32" i="3"/>
  <c r="AS29" i="3"/>
  <c r="AS24" i="3"/>
  <c r="AS23" i="3"/>
  <c r="AS22" i="3"/>
  <c r="AS20" i="3"/>
  <c r="AS19" i="3"/>
  <c r="AS16" i="3" s="1"/>
  <c r="AS18" i="3"/>
  <c r="AS17" i="3"/>
  <c r="AS14" i="3"/>
  <c r="AS13" i="3"/>
  <c r="AS12" i="3"/>
  <c r="AS30" i="8" l="1"/>
  <c r="AS10" i="32"/>
  <c r="AS18" i="29" l="1"/>
  <c r="AS16" i="29"/>
  <c r="AS14" i="29"/>
  <c r="AS33" i="28"/>
  <c r="AS14" i="28"/>
  <c r="AS25" i="26"/>
  <c r="AS20" i="25"/>
  <c r="AS20" i="24"/>
  <c r="AS20" i="23"/>
  <c r="AS14" i="22"/>
  <c r="AS21" i="20"/>
  <c r="AS14" i="19"/>
  <c r="AS26" i="18"/>
  <c r="AS35" i="17"/>
  <c r="AS24" i="35"/>
  <c r="CK21" i="15"/>
  <c r="AS15" i="13"/>
  <c r="AS34" i="37"/>
  <c r="R14" i="11"/>
  <c r="AS14" i="39"/>
  <c r="CK22" i="34"/>
  <c r="CJ22" i="34"/>
  <c r="AS14" i="7"/>
  <c r="AS19" i="7" s="1"/>
  <c r="EC41" i="6"/>
  <c r="EB41" i="6"/>
  <c r="EC23" i="6"/>
  <c r="EB23" i="6"/>
  <c r="AQ72" i="3"/>
  <c r="AP72" i="3"/>
  <c r="AO72" i="3"/>
  <c r="AN72" i="3"/>
  <c r="AM72" i="3"/>
  <c r="AL72" i="3"/>
  <c r="AK72" i="3"/>
  <c r="AJ72" i="3"/>
  <c r="AI72" i="3"/>
  <c r="AH72" i="3"/>
  <c r="AG72" i="3"/>
  <c r="AF72" i="3"/>
  <c r="AE72" i="3"/>
  <c r="AD72" i="3"/>
  <c r="AC72" i="3"/>
  <c r="AB72" i="3"/>
  <c r="AA72" i="3"/>
  <c r="Z72" i="3"/>
  <c r="Y72" i="3"/>
  <c r="X72" i="3"/>
  <c r="W72" i="3"/>
  <c r="V72" i="3"/>
  <c r="U72" i="3"/>
  <c r="T72" i="3"/>
  <c r="S72" i="3"/>
  <c r="R72" i="3"/>
  <c r="Q72" i="3"/>
  <c r="P72" i="3"/>
  <c r="O72" i="3"/>
  <c r="N72" i="3"/>
  <c r="M72" i="3"/>
  <c r="L72" i="3"/>
  <c r="K72" i="3"/>
  <c r="J72" i="3"/>
  <c r="I72" i="3"/>
  <c r="H72" i="3"/>
  <c r="G72" i="3"/>
  <c r="F72" i="3"/>
  <c r="E72" i="3"/>
  <c r="D75" i="3"/>
  <c r="C75" i="3"/>
  <c r="B75" i="3"/>
  <c r="EA41" i="6" l="1"/>
  <c r="AS35" i="28"/>
  <c r="E26" i="38"/>
  <c r="AS36" i="8"/>
  <c r="EA23" i="6"/>
  <c r="EC43" i="6"/>
  <c r="EC47" i="6" s="1"/>
  <c r="AS69" i="32"/>
  <c r="AS10" i="3"/>
  <c r="AN19" i="46"/>
  <c r="AM19" i="46"/>
  <c r="AL19" i="46"/>
  <c r="AK19" i="46"/>
  <c r="AJ19" i="46"/>
  <c r="AI19" i="46"/>
  <c r="AH19" i="46"/>
  <c r="AG19" i="46"/>
  <c r="AF19" i="46"/>
  <c r="AE19" i="46"/>
  <c r="AD19" i="46"/>
  <c r="AC19" i="46"/>
  <c r="AB19" i="46"/>
  <c r="AA19" i="46"/>
  <c r="Z19" i="46"/>
  <c r="Y19" i="46"/>
  <c r="X19" i="46"/>
  <c r="W19" i="46"/>
  <c r="V19" i="46"/>
  <c r="U19" i="46"/>
  <c r="T19" i="46"/>
  <c r="S19" i="46"/>
  <c r="R19" i="46"/>
  <c r="Q19" i="46"/>
  <c r="P19" i="46"/>
  <c r="O19" i="46"/>
  <c r="N19" i="46"/>
  <c r="M19" i="46"/>
  <c r="L19" i="46"/>
  <c r="K19" i="46"/>
  <c r="J19" i="46"/>
  <c r="I19" i="46"/>
  <c r="H19" i="46"/>
  <c r="G19" i="46"/>
  <c r="F19" i="46"/>
  <c r="E19" i="46"/>
  <c r="D19" i="46"/>
  <c r="C19" i="46"/>
  <c r="B19" i="46"/>
  <c r="AS30" i="46"/>
  <c r="AR30" i="46"/>
  <c r="AQ30" i="46"/>
  <c r="AP30" i="46"/>
  <c r="AO30" i="46"/>
  <c r="AN10" i="46"/>
  <c r="AN30" i="46" s="1"/>
  <c r="AM10" i="46"/>
  <c r="AM30" i="46" s="1"/>
  <c r="AL10" i="46"/>
  <c r="AL30" i="46" s="1"/>
  <c r="AK10" i="46"/>
  <c r="AK30" i="46" s="1"/>
  <c r="AJ10" i="46"/>
  <c r="AJ30" i="46" s="1"/>
  <c r="AI10" i="46"/>
  <c r="AI30" i="46" s="1"/>
  <c r="AH10" i="46"/>
  <c r="AH30" i="46" s="1"/>
  <c r="AG10" i="46"/>
  <c r="AG30" i="46" s="1"/>
  <c r="AF10" i="46"/>
  <c r="AF30" i="46" s="1"/>
  <c r="AE10" i="46"/>
  <c r="AE30" i="46" s="1"/>
  <c r="AD10" i="46"/>
  <c r="AD30" i="46" s="1"/>
  <c r="AC10" i="46"/>
  <c r="AC30" i="46" s="1"/>
  <c r="AB10" i="46"/>
  <c r="AB30" i="46" s="1"/>
  <c r="AA10" i="46"/>
  <c r="AA30" i="46" s="1"/>
  <c r="Z10" i="46"/>
  <c r="Z30" i="46" s="1"/>
  <c r="Y10" i="46"/>
  <c r="Y30" i="46" s="1"/>
  <c r="X10" i="46"/>
  <c r="X30" i="46" s="1"/>
  <c r="W10" i="46"/>
  <c r="W30" i="46" s="1"/>
  <c r="V10" i="46"/>
  <c r="V30" i="46" s="1"/>
  <c r="U10" i="46"/>
  <c r="U30" i="46" s="1"/>
  <c r="T10" i="46"/>
  <c r="T30" i="46" s="1"/>
  <c r="S10" i="46"/>
  <c r="S30" i="46" s="1"/>
  <c r="R10" i="46"/>
  <c r="R30" i="46" s="1"/>
  <c r="Q10" i="46"/>
  <c r="Q30" i="46" s="1"/>
  <c r="P10" i="46"/>
  <c r="P30" i="46" s="1"/>
  <c r="O10" i="46"/>
  <c r="O30" i="46" s="1"/>
  <c r="N10" i="46"/>
  <c r="N30" i="46" s="1"/>
  <c r="M10" i="46"/>
  <c r="M30" i="46" s="1"/>
  <c r="L10" i="46"/>
  <c r="L30" i="46" s="1"/>
  <c r="K10" i="46"/>
  <c r="K30" i="46" s="1"/>
  <c r="J10" i="46"/>
  <c r="J30" i="46" s="1"/>
  <c r="I10" i="46"/>
  <c r="I30" i="46" s="1"/>
  <c r="H10" i="46"/>
  <c r="H30" i="46" s="1"/>
  <c r="G10" i="46"/>
  <c r="G30" i="46" s="1"/>
  <c r="F10" i="46"/>
  <c r="F30" i="46" s="1"/>
  <c r="E10" i="46"/>
  <c r="E30" i="46" s="1"/>
  <c r="D10" i="46"/>
  <c r="D30" i="46" s="1"/>
  <c r="C10" i="46"/>
  <c r="C30" i="46" s="1"/>
  <c r="B10" i="46"/>
  <c r="B30" i="46" s="1"/>
  <c r="AS79" i="3" l="1"/>
  <c r="J71" i="41"/>
  <c r="D13" i="44" l="1"/>
  <c r="D17" i="44" s="1"/>
  <c r="C13" i="44"/>
  <c r="C17" i="44" s="1"/>
  <c r="B13" i="44"/>
  <c r="B17" i="44" s="1"/>
  <c r="J41" i="43" l="1"/>
  <c r="I41" i="43"/>
  <c r="E41" i="43"/>
  <c r="D41" i="43"/>
  <c r="B41" i="43"/>
  <c r="H71" i="41" l="1"/>
  <c r="D71" i="41"/>
  <c r="C71" i="41"/>
  <c r="G71" i="41"/>
  <c r="B71" i="41"/>
  <c r="F71" i="41"/>
  <c r="E71" i="41"/>
  <c r="L41" i="43"/>
  <c r="F41" i="43"/>
  <c r="AR14" i="23"/>
  <c r="I71" i="41" l="1"/>
  <c r="H41" i="43"/>
  <c r="AR33" i="8"/>
  <c r="AR17" i="8"/>
  <c r="AT35" i="8"/>
  <c r="AR39" i="3"/>
  <c r="AR20" i="3"/>
  <c r="C41" i="43" l="1"/>
  <c r="G41" i="43" s="1"/>
  <c r="DZ26" i="6"/>
  <c r="DY26" i="6"/>
  <c r="DZ19" i="6"/>
  <c r="DY19" i="6"/>
  <c r="DX19" i="6" s="1"/>
  <c r="DZ12" i="6"/>
  <c r="DZ23" i="6" s="1"/>
  <c r="DY12" i="6"/>
  <c r="DX23" i="6" l="1"/>
  <c r="DY23" i="6"/>
  <c r="DX26" i="6"/>
  <c r="DX12" i="6"/>
  <c r="AR59" i="32"/>
  <c r="AR55" i="32"/>
  <c r="AR47" i="32" s="1"/>
  <c r="AR51" i="32"/>
  <c r="AR46" i="32"/>
  <c r="AR45" i="32"/>
  <c r="AR43" i="32"/>
  <c r="AR41" i="32"/>
  <c r="AR39" i="32"/>
  <c r="AR37" i="32"/>
  <c r="AR36" i="32"/>
  <c r="AR35" i="32"/>
  <c r="AR33" i="32" s="1"/>
  <c r="AR32" i="32"/>
  <c r="AR31" i="32" s="1"/>
  <c r="AR27" i="32"/>
  <c r="AR26" i="32"/>
  <c r="AR25" i="32"/>
  <c r="AR23" i="32"/>
  <c r="AR21" i="32"/>
  <c r="AR18" i="32"/>
  <c r="AR17" i="32"/>
  <c r="AR15" i="32"/>
  <c r="AR14" i="32"/>
  <c r="AR11" i="32" s="1"/>
  <c r="AR10" i="32" l="1"/>
  <c r="AR75" i="3"/>
  <c r="AR72" i="3"/>
  <c r="AR69" i="3"/>
  <c r="AR65" i="3"/>
  <c r="AR60" i="3"/>
  <c r="AR58" i="3"/>
  <c r="AR55" i="3" s="1"/>
  <c r="AR54" i="3"/>
  <c r="AR46" i="3" s="1"/>
  <c r="AR53" i="3"/>
  <c r="AR50" i="3"/>
  <c r="AR49" i="3"/>
  <c r="AR45" i="3"/>
  <c r="AR44" i="3"/>
  <c r="AR43" i="3"/>
  <c r="AR40" i="3"/>
  <c r="AR38" i="3"/>
  <c r="AR37" i="3"/>
  <c r="AR36" i="3"/>
  <c r="AR34" i="3" s="1"/>
  <c r="AR32" i="3"/>
  <c r="AR29" i="3"/>
  <c r="AR24" i="3"/>
  <c r="AR23" i="3"/>
  <c r="AR22" i="3"/>
  <c r="AR19" i="3"/>
  <c r="AR18" i="3"/>
  <c r="AR17" i="3"/>
  <c r="AR16" i="3" s="1"/>
  <c r="AR14" i="3"/>
  <c r="AR12" i="3" s="1"/>
  <c r="AR13" i="3"/>
  <c r="AR59" i="3" l="1"/>
  <c r="AR10" i="3"/>
  <c r="AR13" i="31"/>
  <c r="AR10" i="31"/>
  <c r="BS15" i="30"/>
  <c r="AR14" i="25"/>
  <c r="AR10" i="25"/>
  <c r="DY41" i="6" l="1"/>
  <c r="DZ41" i="6" l="1"/>
  <c r="DX41" i="6" s="1"/>
  <c r="AR18" i="29" l="1"/>
  <c r="AR16" i="29"/>
  <c r="AR14" i="29"/>
  <c r="AR14" i="28"/>
  <c r="AR25" i="26"/>
  <c r="AR20" i="25"/>
  <c r="AR20" i="24"/>
  <c r="AR20" i="23"/>
  <c r="AR14" i="22"/>
  <c r="AR20" i="40"/>
  <c r="AR21" i="20"/>
  <c r="AR14" i="19"/>
  <c r="AR22" i="18"/>
  <c r="AR10" i="18"/>
  <c r="AR20" i="17"/>
  <c r="AR25" i="17" s="1"/>
  <c r="AR31" i="17" s="1"/>
  <c r="AR35" i="17" s="1"/>
  <c r="AR20" i="35"/>
  <c r="AR24" i="35" s="1"/>
  <c r="CI21" i="15"/>
  <c r="AR15" i="13"/>
  <c r="AR21" i="37"/>
  <c r="AR10" i="37"/>
  <c r="Q14" i="11"/>
  <c r="AR14" i="39"/>
  <c r="D15" i="38"/>
  <c r="D14" i="38" s="1"/>
  <c r="D10" i="38"/>
  <c r="CI22" i="34"/>
  <c r="CH22" i="34"/>
  <c r="AR32" i="8"/>
  <c r="AR19" i="8"/>
  <c r="AR10" i="8"/>
  <c r="AR14" i="7"/>
  <c r="AR19" i="7" s="1"/>
  <c r="AR26" i="18" l="1"/>
  <c r="AR34" i="37"/>
  <c r="AR30" i="8"/>
  <c r="D26" i="38"/>
  <c r="AR36" i="8" l="1"/>
  <c r="DZ43" i="6"/>
  <c r="DZ47" i="6" s="1"/>
  <c r="AR69" i="32"/>
  <c r="AR79" i="3"/>
  <c r="DU39" i="6" l="1"/>
  <c r="DU38" i="6"/>
  <c r="DU37" i="6"/>
  <c r="DU36" i="6"/>
  <c r="DU35" i="6"/>
  <c r="DU33" i="6"/>
  <c r="DU32" i="6"/>
  <c r="DU31" i="6"/>
  <c r="DU30" i="6"/>
  <c r="DU29" i="6"/>
  <c r="DU28" i="6"/>
  <c r="DU27" i="6"/>
  <c r="DW26" i="6"/>
  <c r="DW41" i="6" s="1"/>
  <c r="DV26" i="6"/>
  <c r="DV41" i="6" s="1"/>
  <c r="DU22" i="6"/>
  <c r="DU21" i="6"/>
  <c r="DU20" i="6"/>
  <c r="DW19" i="6"/>
  <c r="DV19" i="6"/>
  <c r="DU19" i="6"/>
  <c r="DU18" i="6"/>
  <c r="DU17" i="6"/>
  <c r="DU16" i="6"/>
  <c r="DU15" i="6"/>
  <c r="DU14" i="6"/>
  <c r="DU13" i="6"/>
  <c r="DW12" i="6"/>
  <c r="DW23" i="6" s="1"/>
  <c r="DV12" i="6"/>
  <c r="DV23" i="6" l="1"/>
  <c r="DU23" i="6" s="1"/>
  <c r="DW43" i="6"/>
  <c r="DW47" i="6" s="1"/>
  <c r="DU41" i="6"/>
  <c r="DU26" i="6"/>
  <c r="DU12" i="6"/>
  <c r="AQ59" i="32"/>
  <c r="AQ56" i="32"/>
  <c r="AQ47" i="32"/>
  <c r="AQ43" i="32"/>
  <c r="AQ37" i="32"/>
  <c r="AQ33" i="32"/>
  <c r="AQ31" i="32"/>
  <c r="AQ27" i="32"/>
  <c r="AQ21" i="32"/>
  <c r="AQ17" i="32"/>
  <c r="AQ11" i="32"/>
  <c r="AQ75" i="3"/>
  <c r="AQ69" i="3"/>
  <c r="AQ65" i="3"/>
  <c r="AQ60" i="3"/>
  <c r="AQ55" i="3"/>
  <c r="AQ46" i="3"/>
  <c r="AQ40" i="3"/>
  <c r="AQ34" i="3"/>
  <c r="AQ32" i="3"/>
  <c r="AQ24" i="3"/>
  <c r="AQ16" i="3"/>
  <c r="AQ12" i="3"/>
  <c r="AQ10" i="32" l="1"/>
  <c r="AQ69" i="32" s="1"/>
  <c r="AQ59" i="3"/>
  <c r="AQ79" i="3" s="1"/>
  <c r="AQ10" i="3"/>
  <c r="AQ32" i="8"/>
  <c r="AQ19" i="8"/>
  <c r="AQ30" i="8" s="1"/>
  <c r="AQ10" i="8"/>
  <c r="BR15" i="30" l="1"/>
  <c r="AQ14" i="7"/>
  <c r="AQ21" i="37" l="1"/>
  <c r="AQ10" i="37"/>
  <c r="AP13" i="31" l="1"/>
  <c r="AQ13" i="31"/>
  <c r="AQ10" i="31"/>
  <c r="C15" i="38"/>
  <c r="C14" i="38" s="1"/>
  <c r="C10" i="38"/>
  <c r="C26" i="38" l="1"/>
  <c r="BR22" i="30"/>
  <c r="AQ18" i="29"/>
  <c r="AQ16" i="29"/>
  <c r="AQ14" i="29"/>
  <c r="AQ14" i="28"/>
  <c r="AQ25" i="26"/>
  <c r="AQ14" i="25"/>
  <c r="AQ10" i="25"/>
  <c r="AQ20" i="24"/>
  <c r="AQ14" i="23"/>
  <c r="AQ20" i="23" s="1"/>
  <c r="AQ14" i="22"/>
  <c r="AQ20" i="40"/>
  <c r="AQ19" i="20"/>
  <c r="AQ18" i="20"/>
  <c r="AQ16" i="20"/>
  <c r="AQ14" i="20"/>
  <c r="AQ13" i="20"/>
  <c r="AQ11" i="20"/>
  <c r="AQ21" i="20" s="1"/>
  <c r="AQ10" i="20"/>
  <c r="AQ20" i="25" l="1"/>
  <c r="AQ22" i="18"/>
  <c r="AQ19" i="18"/>
  <c r="AQ13" i="18"/>
  <c r="AQ10" i="18" s="1"/>
  <c r="AQ20" i="17"/>
  <c r="AQ25" i="17" s="1"/>
  <c r="AQ31" i="17" s="1"/>
  <c r="AQ20" i="35"/>
  <c r="AQ10" i="35"/>
  <c r="AQ16" i="35" s="1"/>
  <c r="AR10" i="35" s="1"/>
  <c r="AR16" i="35" s="1"/>
  <c r="AS16" i="35" s="1"/>
  <c r="AQ14" i="19" l="1"/>
  <c r="B10" i="18"/>
  <c r="AQ26" i="18"/>
  <c r="AQ35" i="17"/>
  <c r="AQ24" i="35"/>
  <c r="CG21" i="15"/>
  <c r="AQ15" i="13"/>
  <c r="AQ34" i="37"/>
  <c r="P14" i="11"/>
  <c r="AQ14" i="39"/>
  <c r="CG22" i="34"/>
  <c r="CF22" i="34"/>
  <c r="AQ36" i="8"/>
  <c r="AQ19" i="7"/>
  <c r="AP20" i="40" l="1"/>
  <c r="AO20" i="40"/>
  <c r="AM20" i="40"/>
  <c r="AL20" i="40"/>
  <c r="AK20" i="40"/>
  <c r="AJ20" i="40"/>
  <c r="AI20" i="40"/>
  <c r="AH20" i="40"/>
  <c r="AG20" i="40"/>
  <c r="AF20" i="40"/>
  <c r="AE20" i="40"/>
  <c r="AD20" i="40"/>
  <c r="AC20" i="40"/>
  <c r="AB20" i="40"/>
  <c r="AA20" i="40"/>
  <c r="Z20" i="40"/>
  <c r="Y20" i="40"/>
  <c r="X20" i="40"/>
  <c r="W20" i="40"/>
  <c r="V20" i="40"/>
  <c r="U20" i="40"/>
  <c r="T20" i="40"/>
  <c r="S20" i="40"/>
  <c r="R20" i="40"/>
  <c r="Q20" i="40"/>
  <c r="P20" i="40"/>
  <c r="O20" i="40"/>
  <c r="N20" i="40"/>
  <c r="M20" i="40"/>
  <c r="L20" i="40"/>
  <c r="K20" i="40"/>
  <c r="J20" i="40"/>
  <c r="I20" i="40"/>
  <c r="H20" i="40"/>
  <c r="G20" i="40"/>
  <c r="F20" i="40"/>
  <c r="E20" i="40"/>
  <c r="D20" i="40"/>
  <c r="C20" i="40"/>
  <c r="B20" i="40"/>
  <c r="AN12" i="40"/>
  <c r="AN20" i="40" s="1"/>
  <c r="AP14" i="39"/>
  <c r="AO14" i="39"/>
  <c r="AN14" i="39"/>
  <c r="AM14" i="39"/>
  <c r="AL14" i="39"/>
  <c r="AK14" i="39"/>
  <c r="AJ14" i="39"/>
  <c r="AI14" i="39"/>
  <c r="AH14" i="39"/>
  <c r="AG14" i="39"/>
  <c r="AF14" i="39"/>
  <c r="AE14" i="39"/>
  <c r="AD14" i="39"/>
  <c r="AC14" i="39"/>
  <c r="AB14" i="39"/>
  <c r="AA14" i="39"/>
  <c r="Y14" i="39"/>
  <c r="X14" i="39"/>
  <c r="W14" i="39"/>
  <c r="V14" i="39"/>
  <c r="U14" i="39"/>
  <c r="T14" i="39"/>
  <c r="S14" i="39"/>
  <c r="R14" i="39"/>
  <c r="Q14" i="39"/>
  <c r="P14" i="39"/>
  <c r="O14" i="39"/>
  <c r="N14" i="39"/>
  <c r="M14" i="39"/>
  <c r="L14" i="39"/>
  <c r="K14" i="39"/>
  <c r="J14" i="39"/>
  <c r="I14" i="39"/>
  <c r="G14" i="39"/>
  <c r="Z12" i="39"/>
  <c r="Z14" i="39" s="1"/>
  <c r="H12" i="39"/>
  <c r="F12" i="39"/>
  <c r="E12" i="39"/>
  <c r="D12" i="39"/>
  <c r="C12" i="39"/>
  <c r="B12" i="39"/>
  <c r="H11" i="39"/>
  <c r="F11" i="39"/>
  <c r="E11" i="39"/>
  <c r="D11" i="39"/>
  <c r="C11" i="39"/>
  <c r="B11" i="39"/>
  <c r="B14" i="39" l="1"/>
  <c r="F14" i="39"/>
  <c r="C14" i="39"/>
  <c r="E14" i="39"/>
  <c r="H14" i="39"/>
  <c r="D14" i="39"/>
  <c r="B10" i="38" l="1"/>
  <c r="B15" i="38"/>
  <c r="B14" i="38" s="1"/>
  <c r="B26" i="38" l="1"/>
  <c r="AP22" i="18"/>
  <c r="AP19" i="18"/>
  <c r="AP17" i="18"/>
  <c r="AP10" i="18" s="1"/>
  <c r="AP13" i="18"/>
  <c r="AP59" i="32" l="1"/>
  <c r="AP56" i="32"/>
  <c r="AP47" i="32"/>
  <c r="AP43" i="32"/>
  <c r="AP41" i="32"/>
  <c r="AP39" i="32"/>
  <c r="AP37" i="32" s="1"/>
  <c r="AP36" i="32"/>
  <c r="AP33" i="32" s="1"/>
  <c r="AP35" i="32"/>
  <c r="AP31" i="32"/>
  <c r="AP27" i="32"/>
  <c r="AP26" i="32"/>
  <c r="AP25" i="32"/>
  <c r="AP23" i="32"/>
  <c r="AP18" i="32"/>
  <c r="AP17" i="32" s="1"/>
  <c r="AP15" i="32"/>
  <c r="AP11" i="32" s="1"/>
  <c r="AP14" i="32"/>
  <c r="AP75" i="3"/>
  <c r="AP69" i="3"/>
  <c r="AP65" i="3"/>
  <c r="AP60" i="3"/>
  <c r="AP59" i="3" s="1"/>
  <c r="AP57" i="3"/>
  <c r="AP55" i="3"/>
  <c r="AP54" i="3"/>
  <c r="AP53" i="3"/>
  <c r="AP50" i="3"/>
  <c r="AP49" i="3"/>
  <c r="AP46" i="3"/>
  <c r="AP45" i="3"/>
  <c r="AP44" i="3"/>
  <c r="AP43" i="3"/>
  <c r="AP40" i="3"/>
  <c r="AP39" i="3"/>
  <c r="AP38" i="3"/>
  <c r="AP37" i="3"/>
  <c r="AP36" i="3"/>
  <c r="AP34" i="3" s="1"/>
  <c r="AP32" i="3"/>
  <c r="AP29" i="3"/>
  <c r="AP24" i="3"/>
  <c r="AP23" i="3"/>
  <c r="AP22" i="3"/>
  <c r="AP19" i="3"/>
  <c r="AP18" i="3"/>
  <c r="AP17" i="3"/>
  <c r="AP16" i="3" s="1"/>
  <c r="AP14" i="3"/>
  <c r="AP12" i="3"/>
  <c r="AP10" i="3" s="1"/>
  <c r="AP79" i="3" l="1"/>
  <c r="AP21" i="32"/>
  <c r="AP10" i="32"/>
  <c r="AP69" i="32" s="1"/>
  <c r="AP14" i="28"/>
  <c r="AP14" i="23" l="1"/>
  <c r="AO14" i="23"/>
  <c r="AP32" i="8" l="1"/>
  <c r="AP30" i="8"/>
  <c r="AP19" i="8"/>
  <c r="AP10" i="8"/>
  <c r="DR39" i="6" l="1"/>
  <c r="DR38" i="6"/>
  <c r="DR37" i="6"/>
  <c r="DR36" i="6"/>
  <c r="DR35" i="6"/>
  <c r="DR33" i="6"/>
  <c r="DR32" i="6"/>
  <c r="DR31" i="6"/>
  <c r="DR30" i="6"/>
  <c r="DR29" i="6"/>
  <c r="DR28" i="6"/>
  <c r="DR27" i="6"/>
  <c r="DT26" i="6"/>
  <c r="DS26" i="6"/>
  <c r="DR22" i="6"/>
  <c r="DR21" i="6"/>
  <c r="DR20" i="6"/>
  <c r="DT19" i="6"/>
  <c r="DS19" i="6"/>
  <c r="DR18" i="6"/>
  <c r="DR17" i="6"/>
  <c r="DR16" i="6"/>
  <c r="DR15" i="6"/>
  <c r="DR14" i="6"/>
  <c r="DR13" i="6"/>
  <c r="DT12" i="6"/>
  <c r="DS12" i="6"/>
  <c r="DS23" i="6" s="1"/>
  <c r="DT23" i="6" l="1"/>
  <c r="DR23" i="6" s="1"/>
  <c r="DR26" i="6"/>
  <c r="DR19" i="6"/>
  <c r="DR12" i="6"/>
  <c r="AP20" i="17" l="1"/>
  <c r="AP25" i="17" s="1"/>
  <c r="AP31" i="17" s="1"/>
  <c r="AP35" i="17" s="1"/>
  <c r="AN14" i="23" l="1"/>
  <c r="AM14" i="23"/>
  <c r="AL14" i="23"/>
  <c r="AK14" i="23"/>
  <c r="AJ14" i="23"/>
  <c r="AI14" i="23"/>
  <c r="AH14" i="23"/>
  <c r="AG14" i="23"/>
  <c r="AF14" i="23"/>
  <c r="AE14" i="23"/>
  <c r="AD14" i="23"/>
  <c r="AB14" i="23"/>
  <c r="AA14" i="23"/>
  <c r="Z14" i="23"/>
  <c r="Y14" i="23"/>
  <c r="X14" i="23"/>
  <c r="W14" i="23"/>
  <c r="V14" i="23"/>
  <c r="U14" i="23"/>
  <c r="T14" i="23"/>
  <c r="S14" i="23"/>
  <c r="R14" i="23"/>
  <c r="Q14" i="23"/>
  <c r="P14" i="23"/>
  <c r="O14" i="23"/>
  <c r="N14" i="23"/>
  <c r="M14" i="23"/>
  <c r="L14" i="23"/>
  <c r="K14" i="23"/>
  <c r="J14" i="23"/>
  <c r="I14" i="23"/>
  <c r="H14" i="23"/>
  <c r="G14" i="23"/>
  <c r="F14" i="23"/>
  <c r="E14" i="23"/>
  <c r="D14" i="23"/>
  <c r="C14" i="23"/>
  <c r="B14" i="23"/>
  <c r="AO13" i="31" l="1"/>
  <c r="AP10" i="20" l="1"/>
  <c r="AP11" i="20"/>
  <c r="AP13" i="20"/>
  <c r="AP21" i="20" s="1"/>
  <c r="AP14" i="20"/>
  <c r="AP16" i="20"/>
  <c r="AP21" i="37" l="1"/>
  <c r="AP10" i="37"/>
  <c r="AP34" i="37" l="1"/>
  <c r="BQ15" i="30"/>
  <c r="BQ22" i="30" s="1"/>
  <c r="AP18" i="29"/>
  <c r="AP16" i="29"/>
  <c r="AP14" i="29"/>
  <c r="AP25" i="26"/>
  <c r="AP14" i="25" l="1"/>
  <c r="AP10" i="25"/>
  <c r="AP20" i="24"/>
  <c r="AP20" i="25" l="1"/>
  <c r="AP20" i="23"/>
  <c r="AP14" i="22"/>
  <c r="AP14" i="19"/>
  <c r="AP26" i="18"/>
  <c r="AP20" i="35" l="1"/>
  <c r="AP24" i="35" s="1"/>
  <c r="CE21" i="15" l="1"/>
  <c r="AP15" i="13" l="1"/>
  <c r="O14" i="11"/>
  <c r="CE22" i="34" l="1"/>
  <c r="CD22" i="34"/>
  <c r="AP14" i="7"/>
  <c r="AP19" i="7" s="1"/>
  <c r="DT41" i="6"/>
  <c r="DS41" i="6"/>
  <c r="DR41" i="6" l="1"/>
  <c r="DT43" i="6"/>
  <c r="AP36" i="8"/>
  <c r="DT47" i="6" l="1"/>
  <c r="AO21" i="37"/>
  <c r="AN21" i="37"/>
  <c r="AM21" i="37"/>
  <c r="AL21" i="37"/>
  <c r="AK21" i="37"/>
  <c r="AJ21" i="37"/>
  <c r="AI21" i="37"/>
  <c r="AH21" i="37"/>
  <c r="AG21" i="37"/>
  <c r="AF21" i="37"/>
  <c r="AE21" i="37"/>
  <c r="AD21" i="37"/>
  <c r="AC21" i="37"/>
  <c r="AB21" i="37"/>
  <c r="AA21" i="37"/>
  <c r="Z21" i="37"/>
  <c r="Y21" i="37"/>
  <c r="X21" i="37"/>
  <c r="W21" i="37"/>
  <c r="V21" i="37"/>
  <c r="U21" i="37"/>
  <c r="T21" i="37"/>
  <c r="S21" i="37"/>
  <c r="R21" i="37"/>
  <c r="Q21" i="37"/>
  <c r="P21" i="37"/>
  <c r="O21" i="37"/>
  <c r="N21" i="37"/>
  <c r="M21" i="37"/>
  <c r="L21" i="37"/>
  <c r="K21" i="37"/>
  <c r="J21" i="37"/>
  <c r="I21" i="37"/>
  <c r="H21" i="37"/>
  <c r="G21" i="37"/>
  <c r="F21" i="37"/>
  <c r="E21" i="37"/>
  <c r="D21" i="37"/>
  <c r="C21" i="37"/>
  <c r="B21" i="37"/>
  <c r="AO10" i="37"/>
  <c r="AO34" i="37" s="1"/>
  <c r="AN10" i="37"/>
  <c r="AN34" i="37" s="1"/>
  <c r="AM10" i="37"/>
  <c r="AM34" i="37" s="1"/>
  <c r="AL10" i="37"/>
  <c r="AL34" i="37" s="1"/>
  <c r="AK10" i="37"/>
  <c r="AK34" i="37" s="1"/>
  <c r="AJ10" i="37"/>
  <c r="AJ34" i="37" s="1"/>
  <c r="AI10" i="37"/>
  <c r="AI34" i="37" s="1"/>
  <c r="AH10" i="37"/>
  <c r="AH34" i="37" s="1"/>
  <c r="AG10" i="37"/>
  <c r="AG34" i="37" s="1"/>
  <c r="AF10" i="37"/>
  <c r="AF34" i="37" s="1"/>
  <c r="AE10" i="37"/>
  <c r="AE34" i="37" s="1"/>
  <c r="AD10" i="37"/>
  <c r="AD34" i="37" s="1"/>
  <c r="AC10" i="37"/>
  <c r="AC34" i="37" s="1"/>
  <c r="AB10" i="37"/>
  <c r="AB34" i="37" s="1"/>
  <c r="AA10" i="37"/>
  <c r="AA34" i="37" s="1"/>
  <c r="Z10" i="37"/>
  <c r="Z34" i="37" s="1"/>
  <c r="Y10" i="37"/>
  <c r="Y34" i="37" s="1"/>
  <c r="X10" i="37"/>
  <c r="X34" i="37" s="1"/>
  <c r="W10" i="37"/>
  <c r="W34" i="37" s="1"/>
  <c r="V10" i="37"/>
  <c r="V34" i="37" s="1"/>
  <c r="U10" i="37"/>
  <c r="U34" i="37" s="1"/>
  <c r="T10" i="37"/>
  <c r="T34" i="37" s="1"/>
  <c r="S10" i="37"/>
  <c r="S34" i="37" s="1"/>
  <c r="R10" i="37"/>
  <c r="R34" i="37" s="1"/>
  <c r="Q10" i="37"/>
  <c r="Q34" i="37" s="1"/>
  <c r="P10" i="37"/>
  <c r="P34" i="37" s="1"/>
  <c r="O10" i="37"/>
  <c r="O34" i="37" s="1"/>
  <c r="N10" i="37"/>
  <c r="N34" i="37" s="1"/>
  <c r="M10" i="37"/>
  <c r="M34" i="37" s="1"/>
  <c r="L10" i="37"/>
  <c r="L34" i="37" s="1"/>
  <c r="K10" i="37"/>
  <c r="K34" i="37" s="1"/>
  <c r="J10" i="37"/>
  <c r="J34" i="37" s="1"/>
  <c r="I10" i="37"/>
  <c r="I34" i="37" s="1"/>
  <c r="H10" i="37"/>
  <c r="H34" i="37" s="1"/>
  <c r="G10" i="37"/>
  <c r="G34" i="37" s="1"/>
  <c r="F10" i="37"/>
  <c r="F34" i="37" s="1"/>
  <c r="E10" i="37"/>
  <c r="E34" i="37" s="1"/>
  <c r="D10" i="37"/>
  <c r="D34" i="37" s="1"/>
  <c r="C10" i="37"/>
  <c r="C34" i="37" s="1"/>
  <c r="B10" i="37"/>
  <c r="B34" i="37" s="1"/>
  <c r="AN59" i="32" l="1"/>
  <c r="AM59" i="32"/>
  <c r="AL59" i="32"/>
  <c r="AK59" i="32"/>
  <c r="AJ59" i="32"/>
  <c r="AI59" i="32"/>
  <c r="AH59" i="32"/>
  <c r="AG59" i="32"/>
  <c r="AF59" i="32"/>
  <c r="AE59" i="32"/>
  <c r="AD59" i="32"/>
  <c r="AC59" i="32"/>
  <c r="AB59" i="32"/>
  <c r="AA59" i="32"/>
  <c r="Z59" i="32"/>
  <c r="Y59" i="32"/>
  <c r="X59" i="32"/>
  <c r="W59" i="32"/>
  <c r="V59" i="32"/>
  <c r="U59" i="32"/>
  <c r="T59" i="32"/>
  <c r="S59" i="32"/>
  <c r="R59" i="32"/>
  <c r="Q59" i="32"/>
  <c r="P59" i="32"/>
  <c r="O59" i="32"/>
  <c r="N59" i="32"/>
  <c r="M59" i="32"/>
  <c r="L59" i="32"/>
  <c r="K59" i="32"/>
  <c r="J59" i="32"/>
  <c r="I59" i="32"/>
  <c r="H59" i="32"/>
  <c r="G59" i="32"/>
  <c r="F59" i="32"/>
  <c r="E59" i="32"/>
  <c r="D59" i="32"/>
  <c r="C59" i="32"/>
  <c r="B59" i="32"/>
  <c r="AN56" i="32"/>
  <c r="AM56" i="32"/>
  <c r="AL56" i="32"/>
  <c r="AK56" i="32"/>
  <c r="AJ56" i="32"/>
  <c r="AI56" i="32"/>
  <c r="AH56" i="32"/>
  <c r="AG56" i="32"/>
  <c r="AF56" i="32"/>
  <c r="AE56" i="32"/>
  <c r="AD56" i="32"/>
  <c r="AC56" i="32"/>
  <c r="AB56" i="32"/>
  <c r="AA56" i="32"/>
  <c r="Z56" i="32"/>
  <c r="Y56" i="32"/>
  <c r="X56" i="32"/>
  <c r="W56" i="32"/>
  <c r="V56" i="32"/>
  <c r="U56" i="32"/>
  <c r="T56" i="32"/>
  <c r="S56" i="32"/>
  <c r="R56" i="32"/>
  <c r="Q56" i="32"/>
  <c r="P56" i="32"/>
  <c r="O56" i="32"/>
  <c r="N56" i="32"/>
  <c r="M56" i="32"/>
  <c r="L56" i="32"/>
  <c r="K56" i="32"/>
  <c r="J56" i="32"/>
  <c r="I56" i="32"/>
  <c r="H56" i="32"/>
  <c r="G56" i="32"/>
  <c r="F56" i="32"/>
  <c r="E56" i="32"/>
  <c r="D56" i="32"/>
  <c r="C56" i="32"/>
  <c r="B56" i="32"/>
  <c r="AN47" i="32"/>
  <c r="AM47" i="32"/>
  <c r="AL47" i="32"/>
  <c r="AK47" i="32"/>
  <c r="AJ47" i="32"/>
  <c r="AI47" i="32"/>
  <c r="AH47" i="32"/>
  <c r="AG47" i="32"/>
  <c r="AF47" i="32"/>
  <c r="AE47" i="32"/>
  <c r="AD47" i="32"/>
  <c r="AC47" i="32"/>
  <c r="AB47" i="32"/>
  <c r="AA47" i="32"/>
  <c r="Z47" i="32"/>
  <c r="Y47" i="32"/>
  <c r="X47" i="32"/>
  <c r="W47" i="32"/>
  <c r="V47" i="32"/>
  <c r="U47" i="32"/>
  <c r="T47" i="32"/>
  <c r="S47" i="32"/>
  <c r="R47" i="32"/>
  <c r="Q47" i="32"/>
  <c r="P47" i="32"/>
  <c r="O47" i="32"/>
  <c r="N47" i="32"/>
  <c r="M47" i="32"/>
  <c r="L47" i="32"/>
  <c r="K47" i="32"/>
  <c r="J47" i="32"/>
  <c r="I47" i="32"/>
  <c r="H47" i="32"/>
  <c r="G47" i="32"/>
  <c r="F47" i="32"/>
  <c r="E47" i="32"/>
  <c r="D47" i="32"/>
  <c r="C47" i="32"/>
  <c r="B47" i="32"/>
  <c r="AN37" i="32"/>
  <c r="AM37" i="32"/>
  <c r="AL37" i="32"/>
  <c r="AK37" i="32"/>
  <c r="AJ37" i="32"/>
  <c r="AI37" i="32"/>
  <c r="AH37" i="32"/>
  <c r="AG37" i="32"/>
  <c r="AF37" i="32"/>
  <c r="AE37" i="32"/>
  <c r="AD37" i="32"/>
  <c r="AC37" i="32"/>
  <c r="AB37" i="32"/>
  <c r="AA37" i="32"/>
  <c r="Z37" i="32"/>
  <c r="Y37" i="32"/>
  <c r="X37" i="32"/>
  <c r="W37" i="32"/>
  <c r="V37" i="32"/>
  <c r="U37" i="32"/>
  <c r="T37" i="32"/>
  <c r="S37" i="32"/>
  <c r="R37" i="32"/>
  <c r="Q37" i="32"/>
  <c r="P37" i="32"/>
  <c r="O37" i="32"/>
  <c r="N37" i="32"/>
  <c r="M37" i="32"/>
  <c r="L37" i="32"/>
  <c r="K37" i="32"/>
  <c r="J37" i="32"/>
  <c r="I37" i="32"/>
  <c r="H37" i="32"/>
  <c r="G37" i="32"/>
  <c r="F37" i="32"/>
  <c r="E37" i="32"/>
  <c r="D37" i="32"/>
  <c r="C37" i="32"/>
  <c r="B37" i="32"/>
  <c r="AN33" i="32"/>
  <c r="AM33" i="32"/>
  <c r="AL33" i="32"/>
  <c r="AK33" i="32"/>
  <c r="AJ33" i="32"/>
  <c r="AI33" i="32"/>
  <c r="AH33" i="32"/>
  <c r="AG33" i="32"/>
  <c r="AF33" i="32"/>
  <c r="AE33" i="32"/>
  <c r="AD33" i="32"/>
  <c r="AC33" i="32"/>
  <c r="AB33" i="32"/>
  <c r="AA33" i="32"/>
  <c r="Z33" i="32"/>
  <c r="Y33" i="32"/>
  <c r="X33" i="32"/>
  <c r="W33" i="32"/>
  <c r="V33" i="32"/>
  <c r="U33" i="32"/>
  <c r="T33" i="32"/>
  <c r="S33" i="32"/>
  <c r="R33" i="32"/>
  <c r="Q33" i="32"/>
  <c r="P33" i="32"/>
  <c r="O33" i="32"/>
  <c r="N33" i="32"/>
  <c r="M33" i="32"/>
  <c r="L33" i="32"/>
  <c r="K33" i="32"/>
  <c r="J33" i="32"/>
  <c r="I33" i="32"/>
  <c r="H33" i="32"/>
  <c r="G33" i="32"/>
  <c r="F33" i="32"/>
  <c r="E33" i="32"/>
  <c r="D33" i="32"/>
  <c r="C33" i="32"/>
  <c r="B33" i="32"/>
  <c r="AN31" i="32"/>
  <c r="AM31" i="32"/>
  <c r="AL31" i="32"/>
  <c r="AK31" i="32"/>
  <c r="AJ31" i="32"/>
  <c r="AI31" i="32"/>
  <c r="AH31" i="32"/>
  <c r="AG31" i="32"/>
  <c r="AF31" i="32"/>
  <c r="AE31" i="32"/>
  <c r="AD31" i="32"/>
  <c r="AC31" i="32"/>
  <c r="AB31" i="32"/>
  <c r="AA31" i="32"/>
  <c r="Z31" i="32"/>
  <c r="Y31" i="32"/>
  <c r="X31" i="32"/>
  <c r="W31" i="32"/>
  <c r="V31" i="32"/>
  <c r="U31" i="32"/>
  <c r="T31" i="32"/>
  <c r="S31" i="32"/>
  <c r="R31" i="32"/>
  <c r="Q31" i="32"/>
  <c r="P31" i="32"/>
  <c r="O31" i="32"/>
  <c r="N31" i="32"/>
  <c r="M31" i="32"/>
  <c r="L31" i="32"/>
  <c r="K31" i="32"/>
  <c r="J31" i="32"/>
  <c r="I31" i="32"/>
  <c r="H31" i="32"/>
  <c r="G31" i="32"/>
  <c r="F31" i="32"/>
  <c r="E31" i="32"/>
  <c r="D31" i="32"/>
  <c r="C31" i="32"/>
  <c r="B31" i="32"/>
  <c r="AN27" i="32"/>
  <c r="AM27" i="32"/>
  <c r="AL27" i="32"/>
  <c r="AK27" i="32"/>
  <c r="AJ27" i="32"/>
  <c r="AI27" i="32"/>
  <c r="AH27" i="32"/>
  <c r="AG27" i="32"/>
  <c r="AF27" i="32"/>
  <c r="AE27" i="32"/>
  <c r="AD27" i="32"/>
  <c r="AC27" i="32"/>
  <c r="AB27" i="32"/>
  <c r="AA27" i="32"/>
  <c r="Z27" i="32"/>
  <c r="Y27" i="32"/>
  <c r="X27" i="32"/>
  <c r="W27" i="32"/>
  <c r="V27" i="32"/>
  <c r="U27" i="32"/>
  <c r="T27" i="32"/>
  <c r="S27" i="32"/>
  <c r="R27" i="32"/>
  <c r="Q27" i="32"/>
  <c r="P27" i="32"/>
  <c r="O27" i="32"/>
  <c r="N27" i="32"/>
  <c r="M27" i="32"/>
  <c r="L27" i="32"/>
  <c r="K27" i="32"/>
  <c r="J27" i="32"/>
  <c r="I27" i="32"/>
  <c r="H27" i="32"/>
  <c r="G27" i="32"/>
  <c r="F27" i="32"/>
  <c r="E27" i="32"/>
  <c r="D27" i="32"/>
  <c r="C27" i="32"/>
  <c r="B27" i="32"/>
  <c r="AO27" i="32"/>
  <c r="AO21" i="32"/>
  <c r="B21" i="32"/>
  <c r="C21" i="32"/>
  <c r="D21" i="32"/>
  <c r="E21" i="32"/>
  <c r="F21" i="32"/>
  <c r="G21" i="32"/>
  <c r="H21" i="32"/>
  <c r="I21" i="32"/>
  <c r="J21" i="32"/>
  <c r="K21" i="32"/>
  <c r="L21" i="32"/>
  <c r="M21" i="32"/>
  <c r="N21" i="32"/>
  <c r="O21" i="32"/>
  <c r="P21" i="32"/>
  <c r="Q21" i="32"/>
  <c r="R21" i="32"/>
  <c r="S21" i="32"/>
  <c r="T21" i="32"/>
  <c r="U21" i="32"/>
  <c r="V21" i="32"/>
  <c r="W21" i="32"/>
  <c r="X21" i="32"/>
  <c r="Y21" i="32"/>
  <c r="Z21" i="32"/>
  <c r="AA21" i="32"/>
  <c r="AB21" i="32"/>
  <c r="AC21" i="32"/>
  <c r="AD21" i="32"/>
  <c r="AE21" i="32"/>
  <c r="AF21" i="32"/>
  <c r="AG21" i="32"/>
  <c r="AH21" i="32"/>
  <c r="AI21" i="32"/>
  <c r="AJ21" i="32"/>
  <c r="AK21" i="32"/>
  <c r="AL21" i="32"/>
  <c r="AM21" i="32"/>
  <c r="AN21" i="32"/>
  <c r="B17" i="32"/>
  <c r="C17" i="32"/>
  <c r="D17" i="32"/>
  <c r="E17" i="32"/>
  <c r="F17" i="32"/>
  <c r="G17" i="32"/>
  <c r="H17" i="32"/>
  <c r="I17" i="32"/>
  <c r="J17" i="32"/>
  <c r="K17" i="32"/>
  <c r="L17" i="32"/>
  <c r="M17" i="32"/>
  <c r="N17" i="32"/>
  <c r="O17" i="32"/>
  <c r="P17" i="32"/>
  <c r="Q17" i="32"/>
  <c r="R17" i="32"/>
  <c r="S17" i="32"/>
  <c r="T17" i="32"/>
  <c r="U17" i="32"/>
  <c r="V17" i="32"/>
  <c r="W17" i="32"/>
  <c r="X17" i="32"/>
  <c r="Y17" i="32"/>
  <c r="Z17" i="32"/>
  <c r="AA17" i="32"/>
  <c r="AB17" i="32"/>
  <c r="AC17" i="32"/>
  <c r="AD17" i="32"/>
  <c r="AE17" i="32"/>
  <c r="AF17" i="32"/>
  <c r="AG17" i="32"/>
  <c r="AH17" i="32"/>
  <c r="AI17" i="32"/>
  <c r="AJ17" i="32"/>
  <c r="AK17" i="32"/>
  <c r="AL17" i="32"/>
  <c r="AM17" i="32"/>
  <c r="AN17" i="32"/>
  <c r="B11" i="32"/>
  <c r="C11" i="32"/>
  <c r="C10" i="32" s="1"/>
  <c r="C69" i="32" s="1"/>
  <c r="D11" i="32"/>
  <c r="E11" i="32"/>
  <c r="F11" i="32"/>
  <c r="G11" i="32"/>
  <c r="G10" i="32" s="1"/>
  <c r="G69" i="32" s="1"/>
  <c r="H11" i="32"/>
  <c r="I11" i="32"/>
  <c r="J11" i="32"/>
  <c r="K11" i="32"/>
  <c r="K10" i="32" s="1"/>
  <c r="K69" i="32" s="1"/>
  <c r="L11" i="32"/>
  <c r="M11" i="32"/>
  <c r="N11" i="32"/>
  <c r="O11" i="32"/>
  <c r="O10" i="32" s="1"/>
  <c r="O69" i="32" s="1"/>
  <c r="P11" i="32"/>
  <c r="Q11" i="32"/>
  <c r="R11" i="32"/>
  <c r="S11" i="32"/>
  <c r="S10" i="32" s="1"/>
  <c r="S69" i="32" s="1"/>
  <c r="T11" i="32"/>
  <c r="U11" i="32"/>
  <c r="V11" i="32"/>
  <c r="W11" i="32"/>
  <c r="W10" i="32" s="1"/>
  <c r="W69" i="32" s="1"/>
  <c r="X11" i="32"/>
  <c r="Y11" i="32"/>
  <c r="Z11" i="32"/>
  <c r="AA11" i="32"/>
  <c r="AA10" i="32" s="1"/>
  <c r="AA69" i="32" s="1"/>
  <c r="AB11" i="32"/>
  <c r="AC11" i="32"/>
  <c r="AD11" i="32"/>
  <c r="AE11" i="32"/>
  <c r="AE10" i="32" s="1"/>
  <c r="AE69" i="32" s="1"/>
  <c r="AF11" i="32"/>
  <c r="AG11" i="32"/>
  <c r="AH11" i="32"/>
  <c r="AI11" i="32"/>
  <c r="AI10" i="32" s="1"/>
  <c r="AI69" i="32" s="1"/>
  <c r="AJ11" i="32"/>
  <c r="AK11" i="32"/>
  <c r="AL11" i="32"/>
  <c r="AM11" i="32"/>
  <c r="AM10" i="32" s="1"/>
  <c r="AM69" i="32" s="1"/>
  <c r="AN11" i="32"/>
  <c r="AO59" i="32"/>
  <c r="AO56" i="32"/>
  <c r="AO47" i="32"/>
  <c r="AO43" i="32"/>
  <c r="AO37" i="32"/>
  <c r="AO33" i="32"/>
  <c r="AO31" i="32"/>
  <c r="AO17" i="32"/>
  <c r="AO11" i="32"/>
  <c r="AN79" i="3"/>
  <c r="AJ79" i="3"/>
  <c r="AF79" i="3"/>
  <c r="AB79" i="3"/>
  <c r="X79" i="3"/>
  <c r="T79" i="3"/>
  <c r="P79" i="3"/>
  <c r="L79" i="3"/>
  <c r="H79" i="3"/>
  <c r="AN75" i="3"/>
  <c r="AM75" i="3"/>
  <c r="AL75" i="3"/>
  <c r="AK75" i="3"/>
  <c r="AJ75" i="3"/>
  <c r="AI75" i="3"/>
  <c r="AH75" i="3"/>
  <c r="AG75" i="3"/>
  <c r="AF75" i="3"/>
  <c r="AE75" i="3"/>
  <c r="AD75" i="3"/>
  <c r="AC75" i="3"/>
  <c r="AB75" i="3"/>
  <c r="AA75" i="3"/>
  <c r="Z75" i="3"/>
  <c r="Y75" i="3"/>
  <c r="X75" i="3"/>
  <c r="W75" i="3"/>
  <c r="V75" i="3"/>
  <c r="U75" i="3"/>
  <c r="T75" i="3"/>
  <c r="S75" i="3"/>
  <c r="R75" i="3"/>
  <c r="Q75" i="3"/>
  <c r="P75" i="3"/>
  <c r="O75" i="3"/>
  <c r="N75" i="3"/>
  <c r="M75" i="3"/>
  <c r="L75" i="3"/>
  <c r="K75" i="3"/>
  <c r="J75" i="3"/>
  <c r="I75" i="3"/>
  <c r="H75" i="3"/>
  <c r="G75" i="3"/>
  <c r="F75" i="3"/>
  <c r="E75" i="3"/>
  <c r="AO75" i="3"/>
  <c r="AG59" i="3"/>
  <c r="AG79" i="3" s="1"/>
  <c r="AC59" i="3"/>
  <c r="AC79" i="3" s="1"/>
  <c r="Y59" i="3"/>
  <c r="Y79" i="3" s="1"/>
  <c r="U59" i="3"/>
  <c r="U79" i="3" s="1"/>
  <c r="M59" i="3"/>
  <c r="M79" i="3" s="1"/>
  <c r="I59" i="3"/>
  <c r="I79" i="3" s="1"/>
  <c r="D72" i="3"/>
  <c r="C72" i="3"/>
  <c r="B72" i="3"/>
  <c r="AN69" i="3"/>
  <c r="AM69" i="3"/>
  <c r="AM59" i="3" s="1"/>
  <c r="AM79" i="3" s="1"/>
  <c r="AL69" i="3"/>
  <c r="AK69" i="3"/>
  <c r="AJ69" i="3"/>
  <c r="AI69" i="3"/>
  <c r="AH69" i="3"/>
  <c r="AG69" i="3"/>
  <c r="AF69" i="3"/>
  <c r="AE69" i="3"/>
  <c r="AE59" i="3" s="1"/>
  <c r="AE79" i="3" s="1"/>
  <c r="AD69" i="3"/>
  <c r="AC69" i="3"/>
  <c r="AB69" i="3"/>
  <c r="AA69" i="3"/>
  <c r="Z69" i="3"/>
  <c r="Y69" i="3"/>
  <c r="X69" i="3"/>
  <c r="W69" i="3"/>
  <c r="W59" i="3" s="1"/>
  <c r="W79" i="3" s="1"/>
  <c r="V69" i="3"/>
  <c r="U69" i="3"/>
  <c r="T69" i="3"/>
  <c r="S69" i="3"/>
  <c r="R69" i="3"/>
  <c r="Q69" i="3"/>
  <c r="P69" i="3"/>
  <c r="O69" i="3"/>
  <c r="O59" i="3" s="1"/>
  <c r="O79" i="3" s="1"/>
  <c r="N69" i="3"/>
  <c r="M69" i="3"/>
  <c r="L69" i="3"/>
  <c r="K69" i="3"/>
  <c r="J69" i="3"/>
  <c r="I69" i="3"/>
  <c r="H69" i="3"/>
  <c r="G69" i="3"/>
  <c r="G59" i="3" s="1"/>
  <c r="G79" i="3" s="1"/>
  <c r="F69" i="3"/>
  <c r="E69" i="3"/>
  <c r="D69" i="3"/>
  <c r="C69" i="3"/>
  <c r="B69" i="3"/>
  <c r="AO69" i="3"/>
  <c r="AN65" i="3"/>
  <c r="AM65" i="3"/>
  <c r="AL65" i="3"/>
  <c r="AK65" i="3"/>
  <c r="AJ65" i="3"/>
  <c r="AI65" i="3"/>
  <c r="AH65" i="3"/>
  <c r="AG65" i="3"/>
  <c r="AF65" i="3"/>
  <c r="AE65" i="3"/>
  <c r="AD65" i="3"/>
  <c r="AC65" i="3"/>
  <c r="AB65" i="3"/>
  <c r="AA65" i="3"/>
  <c r="Z65" i="3"/>
  <c r="Y65" i="3"/>
  <c r="X65" i="3"/>
  <c r="W65" i="3"/>
  <c r="V65" i="3"/>
  <c r="U65" i="3"/>
  <c r="T65" i="3"/>
  <c r="S65" i="3"/>
  <c r="R65" i="3"/>
  <c r="Q65" i="3"/>
  <c r="P65" i="3"/>
  <c r="O65" i="3"/>
  <c r="N65" i="3"/>
  <c r="M65" i="3"/>
  <c r="L65" i="3"/>
  <c r="K65" i="3"/>
  <c r="J65" i="3"/>
  <c r="I65" i="3"/>
  <c r="H65" i="3"/>
  <c r="G65" i="3"/>
  <c r="F65" i="3"/>
  <c r="E65" i="3"/>
  <c r="D65" i="3"/>
  <c r="C65" i="3"/>
  <c r="B65" i="3"/>
  <c r="AO65" i="3"/>
  <c r="AN60" i="3"/>
  <c r="AN59" i="3" s="1"/>
  <c r="AM60" i="3"/>
  <c r="AL60" i="3"/>
  <c r="AL59" i="3" s="1"/>
  <c r="AL79" i="3" s="1"/>
  <c r="AK60" i="3"/>
  <c r="AJ60" i="3"/>
  <c r="AJ59" i="3" s="1"/>
  <c r="AI60" i="3"/>
  <c r="AH60" i="3"/>
  <c r="AG60" i="3"/>
  <c r="AF60" i="3"/>
  <c r="AF59" i="3" s="1"/>
  <c r="AE60" i="3"/>
  <c r="AD60" i="3"/>
  <c r="AC60" i="3"/>
  <c r="AB60" i="3"/>
  <c r="AB59" i="3" s="1"/>
  <c r="AA60" i="3"/>
  <c r="Z60" i="3"/>
  <c r="Z59" i="3" s="1"/>
  <c r="Z79" i="3" s="1"/>
  <c r="Y60" i="3"/>
  <c r="X60" i="3"/>
  <c r="X59" i="3" s="1"/>
  <c r="W60" i="3"/>
  <c r="V60" i="3"/>
  <c r="V59" i="3" s="1"/>
  <c r="V79" i="3" s="1"/>
  <c r="U60" i="3"/>
  <c r="T60" i="3"/>
  <c r="T59" i="3" s="1"/>
  <c r="S60" i="3"/>
  <c r="R60" i="3"/>
  <c r="R59" i="3" s="1"/>
  <c r="R79" i="3" s="1"/>
  <c r="Q60" i="3"/>
  <c r="P60" i="3"/>
  <c r="P59" i="3" s="1"/>
  <c r="O60" i="3"/>
  <c r="N60" i="3"/>
  <c r="N59" i="3" s="1"/>
  <c r="N79" i="3" s="1"/>
  <c r="M60" i="3"/>
  <c r="L60" i="3"/>
  <c r="L59" i="3" s="1"/>
  <c r="K60" i="3"/>
  <c r="J60" i="3"/>
  <c r="J59" i="3" s="1"/>
  <c r="J79" i="3" s="1"/>
  <c r="I60" i="3"/>
  <c r="H60" i="3"/>
  <c r="H59" i="3" s="1"/>
  <c r="G60" i="3"/>
  <c r="F60" i="3"/>
  <c r="F59" i="3" s="1"/>
  <c r="F79" i="3" s="1"/>
  <c r="E60" i="3"/>
  <c r="D60" i="3"/>
  <c r="D59" i="3" s="1"/>
  <c r="D79" i="3" s="1"/>
  <c r="C60" i="3"/>
  <c r="B60" i="3"/>
  <c r="B59" i="3" s="1"/>
  <c r="B79" i="3" s="1"/>
  <c r="AK59" i="3"/>
  <c r="AK79" i="3" s="1"/>
  <c r="AI59" i="3"/>
  <c r="AI79" i="3" s="1"/>
  <c r="AA59" i="3"/>
  <c r="AA79" i="3" s="1"/>
  <c r="S59" i="3"/>
  <c r="S79" i="3" s="1"/>
  <c r="Q59" i="3"/>
  <c r="Q79" i="3" s="1"/>
  <c r="K59" i="3"/>
  <c r="K79" i="3" s="1"/>
  <c r="E59" i="3"/>
  <c r="E79" i="3" s="1"/>
  <c r="C59" i="3"/>
  <c r="C79" i="3" s="1"/>
  <c r="AM55" i="3"/>
  <c r="AL55" i="3"/>
  <c r="AK55" i="3"/>
  <c r="AJ55" i="3"/>
  <c r="AI55" i="3"/>
  <c r="AH55" i="3"/>
  <c r="AG55" i="3"/>
  <c r="AF55" i="3"/>
  <c r="AE55" i="3"/>
  <c r="AD55" i="3"/>
  <c r="AC55" i="3"/>
  <c r="AB55" i="3"/>
  <c r="AA55" i="3"/>
  <c r="Z55" i="3"/>
  <c r="Y55" i="3"/>
  <c r="X55" i="3"/>
  <c r="W55" i="3"/>
  <c r="V55" i="3"/>
  <c r="U55" i="3"/>
  <c r="T55" i="3"/>
  <c r="S55" i="3"/>
  <c r="S10" i="3" s="1"/>
  <c r="R55" i="3"/>
  <c r="Q55" i="3"/>
  <c r="P55" i="3"/>
  <c r="O55" i="3"/>
  <c r="N55" i="3"/>
  <c r="M55" i="3"/>
  <c r="L55" i="3"/>
  <c r="K55" i="3"/>
  <c r="J55" i="3"/>
  <c r="I55" i="3"/>
  <c r="H55" i="3"/>
  <c r="G55" i="3"/>
  <c r="F55" i="3"/>
  <c r="E55" i="3"/>
  <c r="D55" i="3"/>
  <c r="C55" i="3"/>
  <c r="B55" i="3"/>
  <c r="AN46" i="3"/>
  <c r="AM46" i="3"/>
  <c r="AL46" i="3"/>
  <c r="AK46" i="3"/>
  <c r="AJ46" i="3"/>
  <c r="AI46" i="3"/>
  <c r="AH46" i="3"/>
  <c r="AG46" i="3"/>
  <c r="AF46" i="3"/>
  <c r="AE46" i="3"/>
  <c r="AD46" i="3"/>
  <c r="AC46" i="3"/>
  <c r="AB46" i="3"/>
  <c r="AA46" i="3"/>
  <c r="Z46" i="3"/>
  <c r="Y46" i="3"/>
  <c r="X46" i="3"/>
  <c r="W46" i="3"/>
  <c r="V46" i="3"/>
  <c r="U46" i="3"/>
  <c r="T46" i="3"/>
  <c r="S46" i="3"/>
  <c r="R46" i="3"/>
  <c r="Q46" i="3"/>
  <c r="P46" i="3"/>
  <c r="O46" i="3"/>
  <c r="N46" i="3"/>
  <c r="M46" i="3"/>
  <c r="L46" i="3"/>
  <c r="K46" i="3"/>
  <c r="J46" i="3"/>
  <c r="I46" i="3"/>
  <c r="H46" i="3"/>
  <c r="G46" i="3"/>
  <c r="F46" i="3"/>
  <c r="E46" i="3"/>
  <c r="D46" i="3"/>
  <c r="C46" i="3"/>
  <c r="B46" i="3"/>
  <c r="AO46" i="3"/>
  <c r="B40" i="3"/>
  <c r="AN40" i="3"/>
  <c r="AM40" i="3"/>
  <c r="AL40" i="3"/>
  <c r="AK40" i="3"/>
  <c r="AJ40" i="3"/>
  <c r="AI40" i="3"/>
  <c r="AH40" i="3"/>
  <c r="AG40" i="3"/>
  <c r="AF40" i="3"/>
  <c r="AE40" i="3"/>
  <c r="AD40" i="3"/>
  <c r="AC40" i="3"/>
  <c r="AB40" i="3"/>
  <c r="AA40" i="3"/>
  <c r="Z40" i="3"/>
  <c r="Y40" i="3"/>
  <c r="X40" i="3"/>
  <c r="W40" i="3"/>
  <c r="V40" i="3"/>
  <c r="U40" i="3"/>
  <c r="T40" i="3"/>
  <c r="S40" i="3"/>
  <c r="R40" i="3"/>
  <c r="Q40" i="3"/>
  <c r="P40" i="3"/>
  <c r="O40" i="3"/>
  <c r="N40" i="3"/>
  <c r="M40" i="3"/>
  <c r="L40" i="3"/>
  <c r="K40" i="3"/>
  <c r="J40" i="3"/>
  <c r="I40" i="3"/>
  <c r="H40" i="3"/>
  <c r="G40" i="3"/>
  <c r="F40" i="3"/>
  <c r="E40" i="3"/>
  <c r="D40" i="3"/>
  <c r="C40" i="3"/>
  <c r="AO40" i="3"/>
  <c r="C10" i="3"/>
  <c r="G10" i="3"/>
  <c r="K10" i="3"/>
  <c r="W10" i="3"/>
  <c r="AE10" i="3"/>
  <c r="AI10" i="3"/>
  <c r="AM10" i="3"/>
  <c r="AN55" i="3"/>
  <c r="B34" i="3"/>
  <c r="C34" i="3"/>
  <c r="D34" i="3"/>
  <c r="E34" i="3"/>
  <c r="F34" i="3"/>
  <c r="G34" i="3"/>
  <c r="H34" i="3"/>
  <c r="I34" i="3"/>
  <c r="J34" i="3"/>
  <c r="K34" i="3"/>
  <c r="L34" i="3"/>
  <c r="M34" i="3"/>
  <c r="N34" i="3"/>
  <c r="O34" i="3"/>
  <c r="P34" i="3"/>
  <c r="Q34" i="3"/>
  <c r="R34" i="3"/>
  <c r="S34" i="3"/>
  <c r="T34" i="3"/>
  <c r="U34" i="3"/>
  <c r="V34" i="3"/>
  <c r="W34" i="3"/>
  <c r="X34" i="3"/>
  <c r="Y34" i="3"/>
  <c r="Z34" i="3"/>
  <c r="AA34" i="3"/>
  <c r="AB34" i="3"/>
  <c r="AC34" i="3"/>
  <c r="AD34" i="3"/>
  <c r="AE34" i="3"/>
  <c r="AF34" i="3"/>
  <c r="AG34" i="3"/>
  <c r="AH34" i="3"/>
  <c r="AI34" i="3"/>
  <c r="AJ34" i="3"/>
  <c r="AK34" i="3"/>
  <c r="AL34" i="3"/>
  <c r="AM34" i="3"/>
  <c r="AN34" i="3"/>
  <c r="B32" i="3"/>
  <c r="C32" i="3"/>
  <c r="D32" i="3"/>
  <c r="E32" i="3"/>
  <c r="F32" i="3"/>
  <c r="G32" i="3"/>
  <c r="H32" i="3"/>
  <c r="I32" i="3"/>
  <c r="J32" i="3"/>
  <c r="K32" i="3"/>
  <c r="L32" i="3"/>
  <c r="M32" i="3"/>
  <c r="N32" i="3"/>
  <c r="O32" i="3"/>
  <c r="P32" i="3"/>
  <c r="Q32" i="3"/>
  <c r="R32" i="3"/>
  <c r="S32" i="3"/>
  <c r="T32" i="3"/>
  <c r="U32" i="3"/>
  <c r="V32" i="3"/>
  <c r="W32" i="3"/>
  <c r="X32" i="3"/>
  <c r="Y32" i="3"/>
  <c r="Z32" i="3"/>
  <c r="AA32" i="3"/>
  <c r="AB32" i="3"/>
  <c r="AC32" i="3"/>
  <c r="AD32" i="3"/>
  <c r="AE32" i="3"/>
  <c r="AF32" i="3"/>
  <c r="AG32" i="3"/>
  <c r="AH32" i="3"/>
  <c r="AI32" i="3"/>
  <c r="AJ32" i="3"/>
  <c r="AK32" i="3"/>
  <c r="AL32" i="3"/>
  <c r="AM32" i="3"/>
  <c r="AN32" i="3"/>
  <c r="B24" i="3"/>
  <c r="C24" i="3"/>
  <c r="D24" i="3"/>
  <c r="E24" i="3"/>
  <c r="F24" i="3"/>
  <c r="G24" i="3"/>
  <c r="H24" i="3"/>
  <c r="I24" i="3"/>
  <c r="J24" i="3"/>
  <c r="K24" i="3"/>
  <c r="L24" i="3"/>
  <c r="M24" i="3"/>
  <c r="N24" i="3"/>
  <c r="O24" i="3"/>
  <c r="P24" i="3"/>
  <c r="Q24" i="3"/>
  <c r="R24" i="3"/>
  <c r="S24" i="3"/>
  <c r="T24" i="3"/>
  <c r="U24" i="3"/>
  <c r="V24" i="3"/>
  <c r="W24" i="3"/>
  <c r="X24" i="3"/>
  <c r="Y24" i="3"/>
  <c r="Z24" i="3"/>
  <c r="AA24" i="3"/>
  <c r="AB24" i="3"/>
  <c r="AC24" i="3"/>
  <c r="AD24" i="3"/>
  <c r="AE24" i="3"/>
  <c r="AF24" i="3"/>
  <c r="AG24" i="3"/>
  <c r="AH24" i="3"/>
  <c r="AI24" i="3"/>
  <c r="AJ24" i="3"/>
  <c r="AK24" i="3"/>
  <c r="AL24" i="3"/>
  <c r="AM24" i="3"/>
  <c r="AN24" i="3"/>
  <c r="B16" i="3"/>
  <c r="C16" i="3"/>
  <c r="D16" i="3"/>
  <c r="E16" i="3"/>
  <c r="F16" i="3"/>
  <c r="G16" i="3"/>
  <c r="H16" i="3"/>
  <c r="I16" i="3"/>
  <c r="J16" i="3"/>
  <c r="K16" i="3"/>
  <c r="L16" i="3"/>
  <c r="M16" i="3"/>
  <c r="N16" i="3"/>
  <c r="O16" i="3"/>
  <c r="P16" i="3"/>
  <c r="Q16" i="3"/>
  <c r="R16" i="3"/>
  <c r="S16" i="3"/>
  <c r="T16" i="3"/>
  <c r="U16" i="3"/>
  <c r="V16" i="3"/>
  <c r="W16" i="3"/>
  <c r="X16" i="3"/>
  <c r="Y16" i="3"/>
  <c r="Z16" i="3"/>
  <c r="AA16" i="3"/>
  <c r="AB16" i="3"/>
  <c r="AC16" i="3"/>
  <c r="AD16" i="3"/>
  <c r="AE16" i="3"/>
  <c r="AF16" i="3"/>
  <c r="AG16" i="3"/>
  <c r="AH16" i="3"/>
  <c r="AI16" i="3"/>
  <c r="AJ16" i="3"/>
  <c r="AK16" i="3"/>
  <c r="AL16" i="3"/>
  <c r="AM16" i="3"/>
  <c r="AN16" i="3"/>
  <c r="B12" i="3"/>
  <c r="C12" i="3"/>
  <c r="D12" i="3"/>
  <c r="E12" i="3"/>
  <c r="F12" i="3"/>
  <c r="G12" i="3"/>
  <c r="H12" i="3"/>
  <c r="I12" i="3"/>
  <c r="J12" i="3"/>
  <c r="K12" i="3"/>
  <c r="L12" i="3"/>
  <c r="M12" i="3"/>
  <c r="N12" i="3"/>
  <c r="O12" i="3"/>
  <c r="P12" i="3"/>
  <c r="Q12" i="3"/>
  <c r="R12" i="3"/>
  <c r="S12" i="3"/>
  <c r="T12" i="3"/>
  <c r="U12" i="3"/>
  <c r="V12" i="3"/>
  <c r="W12" i="3"/>
  <c r="X12" i="3"/>
  <c r="Y12" i="3"/>
  <c r="Z12" i="3"/>
  <c r="AA12" i="3"/>
  <c r="AB12" i="3"/>
  <c r="AC12" i="3"/>
  <c r="AD12" i="3"/>
  <c r="AE12" i="3"/>
  <c r="AF12" i="3"/>
  <c r="AG12" i="3"/>
  <c r="AH12" i="3"/>
  <c r="AI12" i="3"/>
  <c r="AJ12" i="3"/>
  <c r="AK12" i="3"/>
  <c r="AL12" i="3"/>
  <c r="AM12" i="3"/>
  <c r="AN12" i="3"/>
  <c r="O10" i="3"/>
  <c r="AA10" i="3"/>
  <c r="AO60" i="3"/>
  <c r="AO55" i="3"/>
  <c r="AO34" i="3"/>
  <c r="AO32" i="3"/>
  <c r="AO24" i="3"/>
  <c r="AO16" i="3"/>
  <c r="AO12" i="3"/>
  <c r="AD10" i="32" l="1"/>
  <c r="AD69" i="32" s="1"/>
  <c r="AN10" i="32"/>
  <c r="AN69" i="32" s="1"/>
  <c r="AJ10" i="32"/>
  <c r="AJ69" i="32" s="1"/>
  <c r="AF10" i="32"/>
  <c r="AF69" i="32" s="1"/>
  <c r="AB10" i="32"/>
  <c r="AB69" i="32" s="1"/>
  <c r="X10" i="32"/>
  <c r="X69" i="32" s="1"/>
  <c r="T10" i="32"/>
  <c r="T69" i="32" s="1"/>
  <c r="N10" i="32"/>
  <c r="N69" i="32" s="1"/>
  <c r="P10" i="32"/>
  <c r="P69" i="32" s="1"/>
  <c r="B10" i="32"/>
  <c r="B69" i="32" s="1"/>
  <c r="F10" i="32"/>
  <c r="F69" i="32" s="1"/>
  <c r="J10" i="32"/>
  <c r="J69" i="32" s="1"/>
  <c r="R10" i="32"/>
  <c r="R69" i="32" s="1"/>
  <c r="V10" i="32"/>
  <c r="V69" i="32" s="1"/>
  <c r="Z10" i="32"/>
  <c r="Z69" i="32" s="1"/>
  <c r="AH10" i="32"/>
  <c r="AH69" i="32" s="1"/>
  <c r="AL10" i="32"/>
  <c r="AL69" i="32" s="1"/>
  <c r="L10" i="32"/>
  <c r="L69" i="32" s="1"/>
  <c r="H10" i="32"/>
  <c r="H69" i="32" s="1"/>
  <c r="D10" i="32"/>
  <c r="D69" i="32" s="1"/>
  <c r="AO10" i="32"/>
  <c r="AO69" i="32" s="1"/>
  <c r="AK10" i="32"/>
  <c r="AK69" i="32" s="1"/>
  <c r="AG10" i="32"/>
  <c r="AG69" i="32" s="1"/>
  <c r="AC10" i="32"/>
  <c r="AC69" i="32" s="1"/>
  <c r="Y10" i="32"/>
  <c r="Y69" i="32" s="1"/>
  <c r="U10" i="32"/>
  <c r="U69" i="32" s="1"/>
  <c r="Q10" i="32"/>
  <c r="Q69" i="32" s="1"/>
  <c r="M10" i="32"/>
  <c r="M69" i="32" s="1"/>
  <c r="I10" i="32"/>
  <c r="I69" i="32" s="1"/>
  <c r="E10" i="32"/>
  <c r="E69" i="32" s="1"/>
  <c r="AD59" i="3"/>
  <c r="AD79" i="3" s="1"/>
  <c r="AH59" i="3"/>
  <c r="AH79" i="3" s="1"/>
  <c r="AO59" i="3"/>
  <c r="P10" i="3"/>
  <c r="J10" i="3"/>
  <c r="B10" i="3"/>
  <c r="AN10" i="3"/>
  <c r="AF10" i="3"/>
  <c r="X10" i="3"/>
  <c r="D10" i="3"/>
  <c r="AO10" i="3"/>
  <c r="Z10" i="3"/>
  <c r="AJ10" i="3"/>
  <c r="AB10" i="3"/>
  <c r="T10" i="3"/>
  <c r="L10" i="3"/>
  <c r="H10" i="3"/>
  <c r="AL10" i="3"/>
  <c r="AH10" i="3"/>
  <c r="AD10" i="3"/>
  <c r="V10" i="3"/>
  <c r="R10" i="3"/>
  <c r="N10" i="3"/>
  <c r="F10" i="3"/>
  <c r="AK10" i="3"/>
  <c r="AG10" i="3"/>
  <c r="AC10" i="3"/>
  <c r="Y10" i="3"/>
  <c r="U10" i="3"/>
  <c r="Q10" i="3"/>
  <c r="M10" i="3"/>
  <c r="I10" i="3"/>
  <c r="E10" i="3"/>
  <c r="AL20" i="10"/>
  <c r="AD20" i="10"/>
  <c r="V20" i="10"/>
  <c r="AO12" i="10"/>
  <c r="AO20" i="10" s="1"/>
  <c r="AN12" i="10"/>
  <c r="AN20" i="10" s="1"/>
  <c r="AM12" i="10"/>
  <c r="AM20" i="10" s="1"/>
  <c r="AL12" i="10"/>
  <c r="AK12" i="10"/>
  <c r="AK20" i="10" s="1"/>
  <c r="AJ12" i="10"/>
  <c r="AJ20" i="10" s="1"/>
  <c r="AI12" i="10"/>
  <c r="AI20" i="10" s="1"/>
  <c r="AH12" i="10"/>
  <c r="AH20" i="10" s="1"/>
  <c r="AG12" i="10"/>
  <c r="AG20" i="10" s="1"/>
  <c r="AF12" i="10"/>
  <c r="AF20" i="10" s="1"/>
  <c r="AE12" i="10"/>
  <c r="AE20" i="10" s="1"/>
  <c r="AD12" i="10"/>
  <c r="AC12" i="10"/>
  <c r="AC20" i="10" s="1"/>
  <c r="AB12" i="10"/>
  <c r="AB20" i="10" s="1"/>
  <c r="AA12" i="10"/>
  <c r="AA20" i="10" s="1"/>
  <c r="Z12" i="10"/>
  <c r="Z20" i="10" s="1"/>
  <c r="Y12" i="10"/>
  <c r="Y20" i="10" s="1"/>
  <c r="X12" i="10"/>
  <c r="X20" i="10" s="1"/>
  <c r="W12" i="10"/>
  <c r="W20" i="10" s="1"/>
  <c r="V12" i="10"/>
  <c r="U12" i="10"/>
  <c r="U20" i="10" s="1"/>
  <c r="T12" i="10"/>
  <c r="T20" i="10" s="1"/>
  <c r="S12" i="10"/>
  <c r="S20" i="10" s="1"/>
  <c r="AO79" i="3" l="1"/>
  <c r="Z22" i="35"/>
  <c r="V22" i="35"/>
  <c r="AO20" i="35"/>
  <c r="AO24" i="35" s="1"/>
  <c r="AN20" i="35"/>
  <c r="AN24" i="35" s="1"/>
  <c r="AM20" i="35"/>
  <c r="AM24" i="35" s="1"/>
  <c r="AL20" i="35"/>
  <c r="AL24" i="35" s="1"/>
  <c r="AK20" i="35"/>
  <c r="AK24" i="35" s="1"/>
  <c r="AJ20" i="35"/>
  <c r="AJ24" i="35" s="1"/>
  <c r="AI20" i="35"/>
  <c r="AI24" i="35" s="1"/>
  <c r="AH20" i="35"/>
  <c r="AH24" i="35" s="1"/>
  <c r="AG20" i="35"/>
  <c r="AG24" i="35" s="1"/>
  <c r="AF20" i="35"/>
  <c r="AF24" i="35" s="1"/>
  <c r="AE20" i="35"/>
  <c r="AE24" i="35" s="1"/>
  <c r="AD20" i="35"/>
  <c r="AD24" i="35" s="1"/>
  <c r="AC20" i="35"/>
  <c r="AC24" i="35" s="1"/>
  <c r="AB20" i="35"/>
  <c r="AB24" i="35" s="1"/>
  <c r="AA20" i="35"/>
  <c r="AA24" i="35" s="1"/>
  <c r="Z20" i="35"/>
  <c r="Z24" i="35" s="1"/>
  <c r="Y20" i="35"/>
  <c r="Y24" i="35" s="1"/>
  <c r="X20" i="35"/>
  <c r="X24" i="35" s="1"/>
  <c r="W20" i="35"/>
  <c r="W24" i="35" s="1"/>
  <c r="V20" i="35"/>
  <c r="V24" i="35" s="1"/>
  <c r="T20" i="35"/>
  <c r="T24" i="35" s="1"/>
  <c r="S20" i="35"/>
  <c r="S24" i="35" s="1"/>
  <c r="R20" i="35"/>
  <c r="R24" i="35" s="1"/>
  <c r="Q20" i="35"/>
  <c r="Q24" i="35" s="1"/>
  <c r="P20" i="35"/>
  <c r="P24" i="35" s="1"/>
  <c r="O20" i="35"/>
  <c r="O24" i="35" s="1"/>
  <c r="N20" i="35"/>
  <c r="N24" i="35" s="1"/>
  <c r="M20" i="35"/>
  <c r="M24" i="35" s="1"/>
  <c r="L20" i="35"/>
  <c r="L24" i="35" s="1"/>
  <c r="K20" i="35"/>
  <c r="K24" i="35" s="1"/>
  <c r="J20" i="35"/>
  <c r="J24" i="35" s="1"/>
  <c r="I20" i="35"/>
  <c r="I24" i="35" s="1"/>
  <c r="H20" i="35"/>
  <c r="H24" i="35" s="1"/>
  <c r="G20" i="35"/>
  <c r="G24" i="35" s="1"/>
  <c r="F20" i="35"/>
  <c r="F24" i="35" s="1"/>
  <c r="E20" i="35"/>
  <c r="E24" i="35" s="1"/>
  <c r="D20" i="35"/>
  <c r="D24" i="35" s="1"/>
  <c r="C20" i="35"/>
  <c r="C24" i="35" s="1"/>
  <c r="B20" i="35"/>
  <c r="B24" i="35" s="1"/>
  <c r="U19" i="35"/>
  <c r="U20" i="35" s="1"/>
  <c r="U24" i="35" s="1"/>
  <c r="B16" i="35"/>
  <c r="C10" i="35" s="1"/>
  <c r="C16" i="35" s="1"/>
  <c r="D10" i="35" s="1"/>
  <c r="D16" i="35" s="1"/>
  <c r="E10" i="35" s="1"/>
  <c r="E16" i="35" s="1"/>
  <c r="F10" i="35" s="1"/>
  <c r="F16" i="35" s="1"/>
  <c r="G10" i="35" s="1"/>
  <c r="G16" i="35" s="1"/>
  <c r="H10" i="35" s="1"/>
  <c r="H16" i="35" s="1"/>
  <c r="I10" i="35" s="1"/>
  <c r="I16" i="35" s="1"/>
  <c r="J10" i="35" s="1"/>
  <c r="J16" i="35" s="1"/>
  <c r="K10" i="35" s="1"/>
  <c r="K16" i="35" s="1"/>
  <c r="L10" i="35" s="1"/>
  <c r="L16" i="35" s="1"/>
  <c r="M10" i="35" s="1"/>
  <c r="M16" i="35" s="1"/>
  <c r="N10" i="35" s="1"/>
  <c r="N16" i="35" s="1"/>
  <c r="O10" i="35" s="1"/>
  <c r="O16" i="35" s="1"/>
  <c r="P10" i="35" s="1"/>
  <c r="P16" i="35" s="1"/>
  <c r="Q10" i="35" s="1"/>
  <c r="Q16" i="35" s="1"/>
  <c r="R10" i="35" s="1"/>
  <c r="R16" i="35" s="1"/>
  <c r="S10" i="35" s="1"/>
  <c r="S16" i="35" s="1"/>
  <c r="T10" i="35" s="1"/>
  <c r="T16" i="35" s="1"/>
  <c r="U10" i="35" s="1"/>
  <c r="U16" i="35" s="1"/>
  <c r="V10" i="35" s="1"/>
  <c r="V16" i="35" s="1"/>
  <c r="W10" i="35" s="1"/>
  <c r="W16" i="35" s="1"/>
  <c r="X10" i="35" s="1"/>
  <c r="X16" i="35" s="1"/>
  <c r="Y10" i="35" s="1"/>
  <c r="Y16" i="35" s="1"/>
  <c r="Z10" i="35" s="1"/>
  <c r="Z16" i="35" s="1"/>
  <c r="AA10" i="35" s="1"/>
  <c r="AA16" i="35" s="1"/>
  <c r="AB10" i="35" s="1"/>
  <c r="AB16" i="35" s="1"/>
  <c r="AC10" i="35" s="1"/>
  <c r="AC16" i="35" s="1"/>
  <c r="AD10" i="35" s="1"/>
  <c r="AD16" i="35" s="1"/>
  <c r="AE10" i="35" s="1"/>
  <c r="AE16" i="35" s="1"/>
  <c r="AF10" i="35" s="1"/>
  <c r="AF16" i="35" s="1"/>
  <c r="AG10" i="35" s="1"/>
  <c r="AG16" i="35" s="1"/>
  <c r="AH10" i="35" s="1"/>
  <c r="AH16" i="35" s="1"/>
  <c r="AI10" i="35" s="1"/>
  <c r="AI16" i="35" s="1"/>
  <c r="AJ10" i="35" s="1"/>
  <c r="AJ16" i="35" s="1"/>
  <c r="AK10" i="35" s="1"/>
  <c r="AK16" i="35" s="1"/>
  <c r="AL10" i="35" s="1"/>
  <c r="AL16" i="35" s="1"/>
  <c r="AM10" i="35" s="1"/>
  <c r="AM16" i="35" s="1"/>
  <c r="AN10" i="35" s="1"/>
  <c r="AN16" i="35" s="1"/>
  <c r="AO10" i="35" s="1"/>
  <c r="CC22" i="34"/>
  <c r="CB22" i="34"/>
  <c r="CA22" i="34"/>
  <c r="BZ22" i="34"/>
  <c r="BY22" i="34"/>
  <c r="BX22" i="34"/>
  <c r="BW22" i="34"/>
  <c r="BV22" i="34"/>
  <c r="BU22" i="34"/>
  <c r="BT22" i="34"/>
  <c r="BS22" i="34"/>
  <c r="BR22" i="34"/>
  <c r="BQ22" i="34"/>
  <c r="BP22" i="34"/>
  <c r="BO22" i="34"/>
  <c r="BN22" i="34"/>
  <c r="BM22" i="34"/>
  <c r="BL22" i="34"/>
  <c r="BJ22" i="34"/>
  <c r="BK19" i="34" s="1"/>
  <c r="BH22" i="34"/>
  <c r="BI19" i="34" s="1"/>
  <c r="BG22" i="34"/>
  <c r="BF22" i="34"/>
  <c r="BE22" i="34"/>
  <c r="BD22" i="34"/>
  <c r="BB22" i="34"/>
  <c r="AZ22" i="34"/>
  <c r="BA20" i="34" s="1"/>
  <c r="AX22" i="34"/>
  <c r="AY18" i="34" s="1"/>
  <c r="AV22" i="34"/>
  <c r="AW19" i="34" s="1"/>
  <c r="AT22" i="34"/>
  <c r="AR22" i="34"/>
  <c r="AS20" i="34" s="1"/>
  <c r="AP22" i="34"/>
  <c r="AQ20" i="34" s="1"/>
  <c r="AN22" i="34"/>
  <c r="AO19" i="34" s="1"/>
  <c r="AL22" i="34"/>
  <c r="AJ22" i="34"/>
  <c r="AK20" i="34" s="1"/>
  <c r="AH22" i="34"/>
  <c r="AI19" i="34" s="1"/>
  <c r="AF22" i="34"/>
  <c r="AG19" i="34" s="1"/>
  <c r="AD22" i="34"/>
  <c r="AB22" i="34"/>
  <c r="AC20" i="34" s="1"/>
  <c r="Z22" i="34"/>
  <c r="AA16" i="34" s="1"/>
  <c r="X22" i="34"/>
  <c r="Y19" i="34" s="1"/>
  <c r="V22" i="34"/>
  <c r="T22" i="34"/>
  <c r="U20" i="34" s="1"/>
  <c r="R22" i="34"/>
  <c r="S18" i="34" s="1"/>
  <c r="P22" i="34"/>
  <c r="Q19" i="34" s="1"/>
  <c r="N22" i="34"/>
  <c r="L22" i="34"/>
  <c r="M20" i="34" s="1"/>
  <c r="J22" i="34"/>
  <c r="K20" i="34" s="1"/>
  <c r="H22" i="34"/>
  <c r="I19" i="34" s="1"/>
  <c r="F22" i="34"/>
  <c r="D22" i="34"/>
  <c r="E20" i="34" s="1"/>
  <c r="BK20" i="34"/>
  <c r="BI20" i="34"/>
  <c r="BC20" i="34"/>
  <c r="AW20" i="34"/>
  <c r="AU20" i="34"/>
  <c r="AO20" i="34"/>
  <c r="AM20" i="34"/>
  <c r="AG20" i="34"/>
  <c r="AE20" i="34"/>
  <c r="AA20" i="34"/>
  <c r="Y20" i="34"/>
  <c r="W20" i="34"/>
  <c r="Q20" i="34"/>
  <c r="O20" i="34"/>
  <c r="I20" i="34"/>
  <c r="G20" i="34"/>
  <c r="B20" i="34"/>
  <c r="BC19" i="34"/>
  <c r="AY19" i="34"/>
  <c r="AU19" i="34"/>
  <c r="AM19" i="34"/>
  <c r="AE19" i="34"/>
  <c r="AC19" i="34"/>
  <c r="W19" i="34"/>
  <c r="U19" i="34"/>
  <c r="S19" i="34"/>
  <c r="O19" i="34"/>
  <c r="G19" i="34"/>
  <c r="B19" i="34"/>
  <c r="BI18" i="34"/>
  <c r="BC18" i="34"/>
  <c r="AW18" i="34"/>
  <c r="AU18" i="34"/>
  <c r="AO18" i="34"/>
  <c r="AM18" i="34"/>
  <c r="AI18" i="34"/>
  <c r="AG18" i="34"/>
  <c r="AE18" i="34"/>
  <c r="Y18" i="34"/>
  <c r="W18" i="34"/>
  <c r="Q18" i="34"/>
  <c r="O18" i="34"/>
  <c r="I18" i="34"/>
  <c r="G18" i="34"/>
  <c r="B18" i="34"/>
  <c r="BC17" i="34"/>
  <c r="AU17" i="34"/>
  <c r="AS17" i="34"/>
  <c r="AM17" i="34"/>
  <c r="AK17" i="34"/>
  <c r="AE17" i="34"/>
  <c r="AC17" i="34"/>
  <c r="AA17" i="34"/>
  <c r="W17" i="34"/>
  <c r="O17" i="34"/>
  <c r="G17" i="34"/>
  <c r="E17" i="34"/>
  <c r="B17" i="34"/>
  <c r="BI16" i="34"/>
  <c r="BC16" i="34"/>
  <c r="AW16" i="34"/>
  <c r="AU16" i="34"/>
  <c r="AQ16" i="34"/>
  <c r="AO16" i="34"/>
  <c r="AM16" i="34"/>
  <c r="AG16" i="34"/>
  <c r="AE16" i="34"/>
  <c r="Y16" i="34"/>
  <c r="W16" i="34"/>
  <c r="Q16" i="34"/>
  <c r="O16" i="34"/>
  <c r="K16" i="34"/>
  <c r="I16" i="34"/>
  <c r="G16" i="34"/>
  <c r="B16" i="34"/>
  <c r="BK15" i="34"/>
  <c r="BC15" i="34"/>
  <c r="AU15" i="34"/>
  <c r="AS15" i="34"/>
  <c r="AM15" i="34"/>
  <c r="AK15" i="34"/>
  <c r="AI15" i="34"/>
  <c r="AE15" i="34"/>
  <c r="AC15" i="34"/>
  <c r="W15" i="34"/>
  <c r="U15" i="34"/>
  <c r="O15" i="34"/>
  <c r="M15" i="34"/>
  <c r="G15" i="34"/>
  <c r="E15" i="34"/>
  <c r="B15" i="34"/>
  <c r="BI14" i="34"/>
  <c r="BC14" i="34"/>
  <c r="AY14" i="34"/>
  <c r="AW14" i="34"/>
  <c r="AU14" i="34"/>
  <c r="AO14" i="34"/>
  <c r="AM14" i="34"/>
  <c r="AG14" i="34"/>
  <c r="AE14" i="34"/>
  <c r="Y14" i="34"/>
  <c r="W14" i="34"/>
  <c r="S14" i="34"/>
  <c r="Q14" i="34"/>
  <c r="O14" i="34"/>
  <c r="I14" i="34"/>
  <c r="G14" i="34"/>
  <c r="B14" i="34"/>
  <c r="BC13" i="34"/>
  <c r="BA13" i="34"/>
  <c r="AU13" i="34"/>
  <c r="AS13" i="34"/>
  <c r="AM13" i="34"/>
  <c r="AK13" i="34"/>
  <c r="AI13" i="34"/>
  <c r="AE13" i="34"/>
  <c r="AC13" i="34"/>
  <c r="W13" i="34"/>
  <c r="U13" i="34"/>
  <c r="O13" i="34"/>
  <c r="M13" i="34"/>
  <c r="G13" i="34"/>
  <c r="E13" i="34"/>
  <c r="B13" i="34"/>
  <c r="BI12" i="34"/>
  <c r="BC12" i="34"/>
  <c r="AY12" i="34"/>
  <c r="AW12" i="34"/>
  <c r="AU12" i="34"/>
  <c r="AO12" i="34"/>
  <c r="AM12" i="34"/>
  <c r="AG12" i="34"/>
  <c r="AE12" i="34"/>
  <c r="AE22" i="34" s="1"/>
  <c r="Y12" i="34"/>
  <c r="W12" i="34"/>
  <c r="S12" i="34"/>
  <c r="Q12" i="34"/>
  <c r="O12" i="34"/>
  <c r="I12" i="34"/>
  <c r="G12" i="34"/>
  <c r="B12" i="34"/>
  <c r="AO16" i="35" l="1"/>
  <c r="AP10" i="35" s="1"/>
  <c r="K12" i="34"/>
  <c r="AA13" i="34"/>
  <c r="G22" i="34"/>
  <c r="AA12" i="34"/>
  <c r="AM22" i="34"/>
  <c r="BK12" i="34"/>
  <c r="K13" i="34"/>
  <c r="AQ13" i="34"/>
  <c r="AA14" i="34"/>
  <c r="BK14" i="34"/>
  <c r="K15" i="34"/>
  <c r="AQ15" i="34"/>
  <c r="S16" i="34"/>
  <c r="AY16" i="34"/>
  <c r="M17" i="34"/>
  <c r="AI17" i="34"/>
  <c r="BK17" i="34"/>
  <c r="K18" i="34"/>
  <c r="AQ18" i="34"/>
  <c r="E19" i="34"/>
  <c r="AA19" i="34"/>
  <c r="AK19" i="34"/>
  <c r="AI20" i="34"/>
  <c r="W22" i="34"/>
  <c r="AQ12" i="34"/>
  <c r="AQ14" i="34"/>
  <c r="AA15" i="34"/>
  <c r="AI16" i="34"/>
  <c r="S17" i="34"/>
  <c r="S22" i="34" s="1"/>
  <c r="AY17" i="34"/>
  <c r="AA18" i="34"/>
  <c r="BK18" i="34"/>
  <c r="K19" i="34"/>
  <c r="AQ19" i="34"/>
  <c r="S20" i="34"/>
  <c r="AY20" i="34"/>
  <c r="BC22" i="34"/>
  <c r="BK13" i="34"/>
  <c r="K14" i="34"/>
  <c r="O22" i="34"/>
  <c r="AI12" i="34"/>
  <c r="AI22" i="34" s="1"/>
  <c r="AU22" i="34"/>
  <c r="S13" i="34"/>
  <c r="AY13" i="34"/>
  <c r="AY22" i="34" s="1"/>
  <c r="AI14" i="34"/>
  <c r="S15" i="34"/>
  <c r="AY15" i="34"/>
  <c r="BK16" i="34"/>
  <c r="K17" i="34"/>
  <c r="U17" i="34"/>
  <c r="AQ17" i="34"/>
  <c r="M19" i="34"/>
  <c r="AS19" i="34"/>
  <c r="C16" i="34"/>
  <c r="Y22" i="34"/>
  <c r="BA15" i="34"/>
  <c r="BA17" i="34"/>
  <c r="BA19" i="34"/>
  <c r="E12" i="34"/>
  <c r="M12" i="34"/>
  <c r="U12" i="34"/>
  <c r="AC12" i="34"/>
  <c r="AK12" i="34"/>
  <c r="AS12" i="34"/>
  <c r="BA12" i="34"/>
  <c r="I13" i="34"/>
  <c r="Q13" i="34"/>
  <c r="Y13" i="34"/>
  <c r="AG13" i="34"/>
  <c r="AO13" i="34"/>
  <c r="AO22" i="34" s="1"/>
  <c r="AW13" i="34"/>
  <c r="BI13" i="34"/>
  <c r="E14" i="34"/>
  <c r="M14" i="34"/>
  <c r="U14" i="34"/>
  <c r="AC14" i="34"/>
  <c r="AK14" i="34"/>
  <c r="AS14" i="34"/>
  <c r="BA14" i="34"/>
  <c r="I15" i="34"/>
  <c r="Q15" i="34"/>
  <c r="Y15" i="34"/>
  <c r="AG15" i="34"/>
  <c r="AO15" i="34"/>
  <c r="AW15" i="34"/>
  <c r="BI15" i="34"/>
  <c r="BI22" i="34" s="1"/>
  <c r="E16" i="34"/>
  <c r="M16" i="34"/>
  <c r="U16" i="34"/>
  <c r="AC16" i="34"/>
  <c r="AK16" i="34"/>
  <c r="AS16" i="34"/>
  <c r="BA16" i="34"/>
  <c r="I17" i="34"/>
  <c r="Q17" i="34"/>
  <c r="Y17" i="34"/>
  <c r="AG17" i="34"/>
  <c r="AO17" i="34"/>
  <c r="AW17" i="34"/>
  <c r="BI17" i="34"/>
  <c r="E18" i="34"/>
  <c r="M18" i="34"/>
  <c r="U18" i="34"/>
  <c r="AC18" i="34"/>
  <c r="AK18" i="34"/>
  <c r="AS18" i="34"/>
  <c r="BA18" i="34"/>
  <c r="B22" i="34"/>
  <c r="C20" i="34" s="1"/>
  <c r="AP16" i="35" l="1"/>
  <c r="Q22" i="34"/>
  <c r="I22" i="34"/>
  <c r="AQ22" i="34"/>
  <c r="K22" i="34"/>
  <c r="C14" i="34"/>
  <c r="AA22" i="34"/>
  <c r="AW22" i="34"/>
  <c r="BK22" i="34"/>
  <c r="AG22" i="34"/>
  <c r="AK22" i="34"/>
  <c r="AC22" i="34"/>
  <c r="BA22" i="34"/>
  <c r="U22" i="34"/>
  <c r="E22" i="34"/>
  <c r="C19" i="34"/>
  <c r="C17" i="34"/>
  <c r="C15" i="34"/>
  <c r="C13" i="34"/>
  <c r="AS22" i="34"/>
  <c r="M22" i="34"/>
  <c r="C18" i="34"/>
  <c r="C12" i="34"/>
  <c r="C22" i="34" l="1"/>
  <c r="AM14" i="22" l="1"/>
  <c r="AI14" i="22"/>
  <c r="AE14" i="22"/>
  <c r="AA14" i="22"/>
  <c r="W14" i="22"/>
  <c r="O14" i="22"/>
  <c r="K14" i="22"/>
  <c r="G14" i="22"/>
  <c r="AL14" i="22"/>
  <c r="AH14" i="22"/>
  <c r="Z14" i="22"/>
  <c r="V14" i="22"/>
  <c r="R14" i="22"/>
  <c r="J14" i="22"/>
  <c r="F14" i="22"/>
  <c r="D14" i="22"/>
  <c r="B14" i="22"/>
  <c r="P14" i="22"/>
  <c r="T14" i="22"/>
  <c r="X14" i="22"/>
  <c r="AB14" i="22"/>
  <c r="AN14" i="22"/>
  <c r="C14" i="22"/>
  <c r="H14" i="22"/>
  <c r="S14" i="22"/>
  <c r="AJ14" i="22"/>
  <c r="AF14" i="22"/>
  <c r="N14" i="22"/>
  <c r="L14" i="22"/>
  <c r="AD14" i="22"/>
  <c r="E14" i="22"/>
  <c r="M14" i="22"/>
  <c r="U14" i="22"/>
  <c r="AG14" i="22"/>
  <c r="AO14" i="22"/>
  <c r="B10" i="31"/>
  <c r="C10" i="31"/>
  <c r="D10" i="31"/>
  <c r="E10" i="31"/>
  <c r="F10" i="31"/>
  <c r="G10" i="31"/>
  <c r="H10" i="31"/>
  <c r="I10" i="31"/>
  <c r="J10" i="31"/>
  <c r="J36" i="31" s="1"/>
  <c r="K10" i="31"/>
  <c r="K36" i="31" s="1"/>
  <c r="L10" i="31"/>
  <c r="L36" i="31" s="1"/>
  <c r="M10" i="31"/>
  <c r="N10" i="31"/>
  <c r="N36" i="31" s="1"/>
  <c r="O10" i="31"/>
  <c r="O36" i="31" s="1"/>
  <c r="P10" i="31"/>
  <c r="P36" i="31" s="1"/>
  <c r="Q10" i="31"/>
  <c r="Q36" i="31" s="1"/>
  <c r="R10" i="31"/>
  <c r="R36" i="31"/>
  <c r="S10" i="31"/>
  <c r="S36" i="31" s="1"/>
  <c r="T10" i="31"/>
  <c r="T36" i="31" s="1"/>
  <c r="U10" i="31"/>
  <c r="U36" i="31" s="1"/>
  <c r="V10" i="31"/>
  <c r="V36" i="31" s="1"/>
  <c r="W10" i="31"/>
  <c r="W36" i="31" s="1"/>
  <c r="X10" i="31"/>
  <c r="X36" i="31" s="1"/>
  <c r="Y10" i="31"/>
  <c r="Y36" i="31" s="1"/>
  <c r="Z10" i="31"/>
  <c r="Z36" i="31" s="1"/>
  <c r="AA10" i="31"/>
  <c r="AA36" i="31" s="1"/>
  <c r="AB10" i="31"/>
  <c r="AB36" i="31" s="1"/>
  <c r="AC10" i="31"/>
  <c r="AD10" i="31"/>
  <c r="AD36" i="31" s="1"/>
  <c r="AE10" i="31"/>
  <c r="AE36" i="31" s="1"/>
  <c r="AF10" i="31"/>
  <c r="AF36" i="31" s="1"/>
  <c r="AG10" i="31"/>
  <c r="AG36" i="31" s="1"/>
  <c r="AH10" i="31"/>
  <c r="AH36" i="31" s="1"/>
  <c r="AI10" i="31"/>
  <c r="AI36" i="31" s="1"/>
  <c r="AJ10" i="31"/>
  <c r="AJ36" i="31" s="1"/>
  <c r="AK10" i="31"/>
  <c r="AK36" i="31" s="1"/>
  <c r="AL10" i="31"/>
  <c r="AL36" i="31" s="1"/>
  <c r="AM10" i="31"/>
  <c r="AN10" i="31"/>
  <c r="AN18" i="31"/>
  <c r="AO10" i="31"/>
  <c r="B13" i="31"/>
  <c r="C13" i="31"/>
  <c r="D13" i="31"/>
  <c r="E13" i="31"/>
  <c r="F13" i="31"/>
  <c r="G13" i="31"/>
  <c r="H13" i="31"/>
  <c r="I13" i="31"/>
  <c r="J13" i="31"/>
  <c r="K13" i="31"/>
  <c r="L13" i="31"/>
  <c r="M13" i="31"/>
  <c r="N13" i="31"/>
  <c r="O13" i="31"/>
  <c r="P13" i="31"/>
  <c r="Q13" i="31"/>
  <c r="R13" i="31"/>
  <c r="S13" i="31"/>
  <c r="T13" i="31"/>
  <c r="U13" i="31"/>
  <c r="V13" i="31"/>
  <c r="W13" i="31"/>
  <c r="X13" i="31"/>
  <c r="Y13" i="31"/>
  <c r="Z13" i="31"/>
  <c r="AA13" i="31"/>
  <c r="AB13" i="31"/>
  <c r="AC13" i="31"/>
  <c r="AD13" i="31"/>
  <c r="AE13" i="31"/>
  <c r="AF13" i="31"/>
  <c r="AG13" i="31"/>
  <c r="AH13" i="31"/>
  <c r="AI13" i="31"/>
  <c r="AK13" i="31"/>
  <c r="AL13" i="31"/>
  <c r="AM18" i="31"/>
  <c r="AM32" i="31"/>
  <c r="AO32" i="31"/>
  <c r="AO35" i="31"/>
  <c r="M36" i="31"/>
  <c r="AC36" i="31"/>
  <c r="AA11" i="30"/>
  <c r="AC11" i="30"/>
  <c r="AE11" i="30"/>
  <c r="AG11" i="30"/>
  <c r="B15" i="30"/>
  <c r="B22" i="30" s="1"/>
  <c r="C15" i="30"/>
  <c r="C22" i="30" s="1"/>
  <c r="D15" i="30"/>
  <c r="E15" i="30"/>
  <c r="E22" i="30" s="1"/>
  <c r="F15" i="30"/>
  <c r="F22" i="30" s="1"/>
  <c r="G15" i="30"/>
  <c r="G22" i="30" s="1"/>
  <c r="H15" i="30"/>
  <c r="I15" i="30"/>
  <c r="I22" i="30" s="1"/>
  <c r="J15" i="30"/>
  <c r="J22" i="30" s="1"/>
  <c r="K15" i="30"/>
  <c r="L15" i="30"/>
  <c r="L22" i="30" s="1"/>
  <c r="M15" i="30"/>
  <c r="M22" i="30" s="1"/>
  <c r="N15" i="30"/>
  <c r="O15" i="30"/>
  <c r="O22" i="30" s="1"/>
  <c r="P15" i="30"/>
  <c r="P22" i="30" s="1"/>
  <c r="Q15" i="30"/>
  <c r="Q22" i="30" s="1"/>
  <c r="R15" i="30"/>
  <c r="S15" i="30"/>
  <c r="S22" i="30" s="1"/>
  <c r="T15" i="30"/>
  <c r="T22" i="30"/>
  <c r="U15" i="30"/>
  <c r="U22" i="30" s="1"/>
  <c r="V15" i="30"/>
  <c r="W15" i="30"/>
  <c r="W22" i="30" s="1"/>
  <c r="X15" i="30"/>
  <c r="X22" i="30" s="1"/>
  <c r="Y15" i="30"/>
  <c r="Y22" i="30" s="1"/>
  <c r="Z15" i="30"/>
  <c r="Z22" i="30" s="1"/>
  <c r="AB15" i="30"/>
  <c r="AB22" i="30" s="1"/>
  <c r="AC15" i="30"/>
  <c r="AC22" i="30" s="1"/>
  <c r="AD15" i="30"/>
  <c r="AD22" i="30" s="1"/>
  <c r="AE15" i="30"/>
  <c r="AE22" i="30" s="1"/>
  <c r="AF15" i="30"/>
  <c r="AF22" i="30" s="1"/>
  <c r="AG15" i="30"/>
  <c r="AG22" i="30" s="1"/>
  <c r="AH15" i="30"/>
  <c r="AI15" i="30"/>
  <c r="AJ15" i="30"/>
  <c r="AJ22" i="30" s="1"/>
  <c r="AK15" i="30"/>
  <c r="AK22" i="30" s="1"/>
  <c r="AL15" i="30"/>
  <c r="AM15" i="30"/>
  <c r="AN15" i="30"/>
  <c r="AO15" i="30"/>
  <c r="AO22" i="30" s="1"/>
  <c r="AP15" i="30"/>
  <c r="AP22" i="30" s="1"/>
  <c r="AQ15" i="30"/>
  <c r="AQ22" i="30" s="1"/>
  <c r="AR15" i="30"/>
  <c r="AR22" i="30" s="1"/>
  <c r="AS15" i="30"/>
  <c r="AS22" i="30" s="1"/>
  <c r="AT15" i="30"/>
  <c r="AT22" i="30" s="1"/>
  <c r="AU15" i="30"/>
  <c r="AU22" i="30" s="1"/>
  <c r="AV15" i="30"/>
  <c r="AV22" i="30" s="1"/>
  <c r="AW15" i="30"/>
  <c r="AW22" i="30" s="1"/>
  <c r="AX15" i="30"/>
  <c r="AX22" i="30" s="1"/>
  <c r="AY15" i="30"/>
  <c r="AY22" i="30" s="1"/>
  <c r="AZ15" i="30"/>
  <c r="BA15" i="30"/>
  <c r="BA22" i="30" s="1"/>
  <c r="BB15" i="30"/>
  <c r="BB22" i="30" s="1"/>
  <c r="BC15" i="30"/>
  <c r="BC22" i="30" s="1"/>
  <c r="BD15" i="30"/>
  <c r="BD22" i="30" s="1"/>
  <c r="BE15" i="30"/>
  <c r="BE22" i="30" s="1"/>
  <c r="BF15" i="30"/>
  <c r="BF22" i="30" s="1"/>
  <c r="BG15" i="30"/>
  <c r="BG22" i="30" s="1"/>
  <c r="BH15" i="30"/>
  <c r="BH22" i="30" s="1"/>
  <c r="BI15" i="30"/>
  <c r="BI22" i="30" s="1"/>
  <c r="BJ15" i="30"/>
  <c r="BJ22" i="30" s="1"/>
  <c r="BK15" i="30"/>
  <c r="BK22" i="30" s="1"/>
  <c r="BL15" i="30"/>
  <c r="BL22" i="30" s="1"/>
  <c r="BM15" i="30"/>
  <c r="BM22" i="30" s="1"/>
  <c r="BN15" i="30"/>
  <c r="BN22" i="30" s="1"/>
  <c r="BO15" i="30"/>
  <c r="BO22" i="30" s="1"/>
  <c r="BP15" i="30"/>
  <c r="BP22" i="30" s="1"/>
  <c r="AA17" i="30"/>
  <c r="AA15" i="30" s="1"/>
  <c r="H22" i="30"/>
  <c r="AN22" i="30"/>
  <c r="AZ22" i="30"/>
  <c r="B14" i="29"/>
  <c r="C14" i="29"/>
  <c r="D14" i="29"/>
  <c r="E14" i="29"/>
  <c r="F14" i="29"/>
  <c r="G14" i="29"/>
  <c r="H14" i="29"/>
  <c r="I14" i="29"/>
  <c r="J14" i="29"/>
  <c r="K14" i="29"/>
  <c r="L14" i="29"/>
  <c r="M14" i="29"/>
  <c r="N14" i="29"/>
  <c r="O14" i="29"/>
  <c r="P14" i="29"/>
  <c r="Q14" i="29"/>
  <c r="R14" i="29"/>
  <c r="S14" i="29"/>
  <c r="T14" i="29"/>
  <c r="U14" i="29"/>
  <c r="V14" i="29"/>
  <c r="W14" i="29"/>
  <c r="X14" i="29"/>
  <c r="Y14" i="29"/>
  <c r="Z14" i="29"/>
  <c r="AA14" i="29"/>
  <c r="AB14" i="29"/>
  <c r="AC14" i="29"/>
  <c r="AD14" i="29"/>
  <c r="AE14" i="29"/>
  <c r="AF14" i="29"/>
  <c r="AG14" i="29"/>
  <c r="AH14" i="29"/>
  <c r="AI14" i="29"/>
  <c r="AJ14" i="29"/>
  <c r="AK14" i="29"/>
  <c r="AL14" i="29"/>
  <c r="AM14" i="29"/>
  <c r="AN14" i="29"/>
  <c r="AO14" i="29"/>
  <c r="B16" i="29"/>
  <c r="C16" i="29"/>
  <c r="D16" i="29"/>
  <c r="E16" i="29"/>
  <c r="F16" i="29"/>
  <c r="G16" i="29"/>
  <c r="H16" i="29"/>
  <c r="I16" i="29"/>
  <c r="J16" i="29"/>
  <c r="K16" i="29"/>
  <c r="L16" i="29"/>
  <c r="M16" i="29"/>
  <c r="N16" i="29"/>
  <c r="O16" i="29"/>
  <c r="P16" i="29"/>
  <c r="Q16" i="29"/>
  <c r="R16" i="29"/>
  <c r="S16" i="29"/>
  <c r="T16" i="29"/>
  <c r="U16" i="29"/>
  <c r="V16" i="29"/>
  <c r="W16" i="29"/>
  <c r="X16" i="29"/>
  <c r="Y16" i="29"/>
  <c r="Z16" i="29"/>
  <c r="AA16" i="29"/>
  <c r="AB16" i="29"/>
  <c r="AC16" i="29"/>
  <c r="AD16" i="29"/>
  <c r="AE16" i="29"/>
  <c r="AF16" i="29"/>
  <c r="AG16" i="29"/>
  <c r="AH16" i="29"/>
  <c r="AI16" i="29"/>
  <c r="AJ16" i="29"/>
  <c r="AK16" i="29"/>
  <c r="AL16" i="29"/>
  <c r="AM16" i="29"/>
  <c r="AN16" i="29"/>
  <c r="AO16" i="29"/>
  <c r="B18" i="29"/>
  <c r="C18" i="29"/>
  <c r="D18" i="29"/>
  <c r="E18" i="29"/>
  <c r="F18" i="29"/>
  <c r="G18" i="29"/>
  <c r="H18" i="29"/>
  <c r="I18" i="29"/>
  <c r="J18" i="29"/>
  <c r="K18" i="29"/>
  <c r="L18" i="29"/>
  <c r="M18" i="29"/>
  <c r="N18" i="29"/>
  <c r="O18" i="29"/>
  <c r="P18" i="29"/>
  <c r="Q18" i="29"/>
  <c r="R18" i="29"/>
  <c r="S18" i="29"/>
  <c r="T18" i="29"/>
  <c r="U18" i="29"/>
  <c r="V18" i="29"/>
  <c r="W18" i="29"/>
  <c r="X18" i="29"/>
  <c r="Y18" i="29"/>
  <c r="Z18" i="29"/>
  <c r="AA18" i="29"/>
  <c r="AB18" i="29"/>
  <c r="AC18" i="29"/>
  <c r="AD18" i="29"/>
  <c r="AE18" i="29"/>
  <c r="AF18" i="29"/>
  <c r="AG18" i="29"/>
  <c r="AH18" i="29"/>
  <c r="AI18" i="29"/>
  <c r="AJ18" i="29"/>
  <c r="AK18" i="29"/>
  <c r="AL18" i="29"/>
  <c r="AM18" i="29"/>
  <c r="AN18" i="29"/>
  <c r="AO18" i="29"/>
  <c r="B14" i="28"/>
  <c r="C14" i="28"/>
  <c r="D14" i="28"/>
  <c r="E14" i="28"/>
  <c r="F14" i="28"/>
  <c r="G14" i="28"/>
  <c r="H14" i="28"/>
  <c r="I14" i="28"/>
  <c r="J14" i="28"/>
  <c r="K14" i="28"/>
  <c r="L14" i="28"/>
  <c r="M14" i="28"/>
  <c r="N14" i="28"/>
  <c r="O14" i="28"/>
  <c r="P14" i="28"/>
  <c r="Q14" i="28"/>
  <c r="R14" i="28"/>
  <c r="S14" i="28"/>
  <c r="T14" i="28"/>
  <c r="U14" i="28"/>
  <c r="V14" i="28"/>
  <c r="W14" i="28"/>
  <c r="X14" i="28"/>
  <c r="Y14" i="28"/>
  <c r="Z14" i="28"/>
  <c r="AA14" i="28"/>
  <c r="AB14" i="28"/>
  <c r="AC14" i="28"/>
  <c r="AD14" i="28"/>
  <c r="AE14" i="28"/>
  <c r="AF14" i="28"/>
  <c r="AG14" i="28"/>
  <c r="AH14" i="28"/>
  <c r="AI14" i="28"/>
  <c r="AJ14" i="28"/>
  <c r="AK14" i="28"/>
  <c r="AL14" i="28"/>
  <c r="AM14" i="28"/>
  <c r="AN14" i="28"/>
  <c r="AO14" i="28"/>
  <c r="V22" i="28"/>
  <c r="V25" i="28" s="1"/>
  <c r="V33" i="28" s="1"/>
  <c r="W22" i="28"/>
  <c r="W25" i="28" s="1"/>
  <c r="W33" i="28" s="1"/>
  <c r="AJ22" i="28"/>
  <c r="AK22" i="28"/>
  <c r="AK25" i="28" s="1"/>
  <c r="V23" i="28"/>
  <c r="B25" i="28"/>
  <c r="C25" i="28"/>
  <c r="C33" i="28" s="1"/>
  <c r="D25" i="28"/>
  <c r="D33" i="28" s="1"/>
  <c r="E25" i="28"/>
  <c r="E33" i="28" s="1"/>
  <c r="F25" i="28"/>
  <c r="G25" i="28"/>
  <c r="G33" i="28" s="1"/>
  <c r="H25" i="28"/>
  <c r="H33" i="28" s="1"/>
  <c r="I25" i="28"/>
  <c r="I33" i="28" s="1"/>
  <c r="J25" i="28"/>
  <c r="K25" i="28"/>
  <c r="K33" i="28" s="1"/>
  <c r="L25" i="28"/>
  <c r="L33" i="28" s="1"/>
  <c r="M25" i="28"/>
  <c r="M33" i="28" s="1"/>
  <c r="N25" i="28"/>
  <c r="O25" i="28"/>
  <c r="P25" i="28"/>
  <c r="P33" i="28" s="1"/>
  <c r="Q25" i="28"/>
  <c r="Q33" i="28" s="1"/>
  <c r="R25" i="28"/>
  <c r="S25" i="28"/>
  <c r="T25" i="28"/>
  <c r="T33" i="28" s="1"/>
  <c r="U25" i="28"/>
  <c r="U33" i="28" s="1"/>
  <c r="X25" i="28"/>
  <c r="Y25" i="28"/>
  <c r="Y33" i="28" s="1"/>
  <c r="Z25" i="28"/>
  <c r="Z33" i="28" s="1"/>
  <c r="AA25" i="28"/>
  <c r="AB25" i="28"/>
  <c r="AC25" i="28"/>
  <c r="AC33" i="28" s="1"/>
  <c r="AD25" i="28"/>
  <c r="AE25" i="28"/>
  <c r="AE33" i="28" s="1"/>
  <c r="AF25" i="28"/>
  <c r="AF33" i="28"/>
  <c r="AG25" i="28"/>
  <c r="AG33" i="28" s="1"/>
  <c r="AH25" i="28"/>
  <c r="AH33" i="28" s="1"/>
  <c r="AI25" i="28"/>
  <c r="AJ25" i="28"/>
  <c r="AJ33" i="28" s="1"/>
  <c r="AL25" i="28"/>
  <c r="AL33" i="28"/>
  <c r="AM25" i="28"/>
  <c r="AM33" i="28" s="1"/>
  <c r="AN25" i="28"/>
  <c r="AN33" i="28" s="1"/>
  <c r="B33" i="28"/>
  <c r="F33" i="28"/>
  <c r="J33" i="28"/>
  <c r="N33" i="28"/>
  <c r="O33" i="28"/>
  <c r="R33" i="28"/>
  <c r="S33" i="28"/>
  <c r="X33" i="28"/>
  <c r="AA33" i="28"/>
  <c r="AB33" i="28"/>
  <c r="AI33" i="28"/>
  <c r="AK33" i="28"/>
  <c r="B13" i="26"/>
  <c r="C13" i="26"/>
  <c r="C25" i="26" s="1"/>
  <c r="D13" i="26"/>
  <c r="E13" i="26"/>
  <c r="F13" i="26"/>
  <c r="G13" i="26"/>
  <c r="G25" i="26" s="1"/>
  <c r="H13" i="26"/>
  <c r="H25" i="26" s="1"/>
  <c r="I13" i="26"/>
  <c r="J13" i="26"/>
  <c r="K13" i="26"/>
  <c r="K25" i="26" s="1"/>
  <c r="L13" i="26"/>
  <c r="L25" i="26" s="1"/>
  <c r="M13" i="26"/>
  <c r="N13" i="26"/>
  <c r="O13" i="26"/>
  <c r="O25" i="26" s="1"/>
  <c r="P13" i="26"/>
  <c r="P25" i="26" s="1"/>
  <c r="Q13" i="26"/>
  <c r="R13" i="26"/>
  <c r="S13" i="26"/>
  <c r="S25" i="26" s="1"/>
  <c r="T13" i="26"/>
  <c r="U13" i="26"/>
  <c r="V13" i="26"/>
  <c r="W13" i="26"/>
  <c r="W25" i="26" s="1"/>
  <c r="X13" i="26"/>
  <c r="X25" i="26" s="1"/>
  <c r="Y13" i="26"/>
  <c r="Z13" i="26"/>
  <c r="AA13" i="26"/>
  <c r="AA25" i="26" s="1"/>
  <c r="AB13" i="26"/>
  <c r="AB25" i="26" s="1"/>
  <c r="AD23" i="26"/>
  <c r="AD25" i="26"/>
  <c r="B25" i="26"/>
  <c r="D25" i="26"/>
  <c r="E25" i="26"/>
  <c r="F25" i="26"/>
  <c r="I25" i="26"/>
  <c r="J25" i="26"/>
  <c r="M25" i="26"/>
  <c r="N25" i="26"/>
  <c r="Q25" i="26"/>
  <c r="R25" i="26"/>
  <c r="T25" i="26"/>
  <c r="U25" i="26"/>
  <c r="V25" i="26"/>
  <c r="Y25" i="26"/>
  <c r="Z25" i="26"/>
  <c r="AC25" i="26"/>
  <c r="AE25" i="26"/>
  <c r="AF25" i="26"/>
  <c r="AG25" i="26"/>
  <c r="AH25" i="26"/>
  <c r="AI25" i="26"/>
  <c r="AJ25" i="26"/>
  <c r="AK25" i="26"/>
  <c r="AL25" i="26"/>
  <c r="AM25" i="26"/>
  <c r="AN25" i="26"/>
  <c r="AO25" i="26"/>
  <c r="B10" i="25"/>
  <c r="B20" i="25" s="1"/>
  <c r="C10" i="25"/>
  <c r="D10" i="25"/>
  <c r="D20" i="25" s="1"/>
  <c r="E10" i="25"/>
  <c r="F10" i="25"/>
  <c r="G10" i="25"/>
  <c r="H10" i="25"/>
  <c r="I10" i="25"/>
  <c r="J10" i="25"/>
  <c r="K10" i="25"/>
  <c r="L10" i="25"/>
  <c r="L20" i="25" s="1"/>
  <c r="M10" i="25"/>
  <c r="N10" i="25"/>
  <c r="R10" i="25"/>
  <c r="AE10" i="25"/>
  <c r="AI10" i="25"/>
  <c r="AM10" i="25"/>
  <c r="AM20" i="25" s="1"/>
  <c r="AO10" i="25"/>
  <c r="O11" i="25"/>
  <c r="O10" i="25" s="1"/>
  <c r="O20" i="25" s="1"/>
  <c r="P11" i="25"/>
  <c r="Q11" i="25"/>
  <c r="S11" i="25"/>
  <c r="U11" i="25"/>
  <c r="V11" i="25"/>
  <c r="W11" i="25"/>
  <c r="Y11" i="25"/>
  <c r="Z11" i="25"/>
  <c r="AA11" i="25"/>
  <c r="AB11" i="25"/>
  <c r="AC11" i="25"/>
  <c r="AC10" i="25"/>
  <c r="AD11" i="25"/>
  <c r="AF11" i="25"/>
  <c r="AG11" i="25"/>
  <c r="AH11" i="25"/>
  <c r="AJ11" i="25"/>
  <c r="AL11" i="25"/>
  <c r="AN10" i="25"/>
  <c r="O12" i="25"/>
  <c r="P12" i="25"/>
  <c r="Q12" i="25"/>
  <c r="Q10" i="25" s="1"/>
  <c r="S12" i="25"/>
  <c r="T12" i="25"/>
  <c r="T10" i="25" s="1"/>
  <c r="T20" i="25" s="1"/>
  <c r="U12" i="25"/>
  <c r="V12" i="25"/>
  <c r="W12" i="25"/>
  <c r="X12" i="25"/>
  <c r="X10" i="25" s="1"/>
  <c r="Y12" i="25"/>
  <c r="Y10" i="25" s="1"/>
  <c r="Z12" i="25"/>
  <c r="AA12" i="25"/>
  <c r="AA10" i="25" s="1"/>
  <c r="AB12" i="25"/>
  <c r="AB10" i="25" s="1"/>
  <c r="AC12" i="25"/>
  <c r="AD12" i="25"/>
  <c r="AD10" i="25" s="1"/>
  <c r="AD20" i="25" s="1"/>
  <c r="AF12" i="25"/>
  <c r="AG12" i="25"/>
  <c r="AG10" i="25" s="1"/>
  <c r="AG20" i="25" s="1"/>
  <c r="AH12" i="25"/>
  <c r="AJ10" i="25"/>
  <c r="AK12" i="25"/>
  <c r="AK10" i="25" s="1"/>
  <c r="AL12" i="25"/>
  <c r="AL10" i="25" s="1"/>
  <c r="AL20" i="25" s="1"/>
  <c r="B14" i="25"/>
  <c r="C14" i="25"/>
  <c r="D14" i="25"/>
  <c r="E14" i="25"/>
  <c r="E20" i="25" s="1"/>
  <c r="F14" i="25"/>
  <c r="F20" i="25" s="1"/>
  <c r="G14" i="25"/>
  <c r="H14" i="25"/>
  <c r="J14" i="25"/>
  <c r="K14" i="25"/>
  <c r="L14" i="25"/>
  <c r="M14" i="25"/>
  <c r="M20" i="25" s="1"/>
  <c r="N14" i="25"/>
  <c r="N20" i="25"/>
  <c r="R14" i="25"/>
  <c r="T14" i="25"/>
  <c r="AD14" i="25"/>
  <c r="AE14" i="25"/>
  <c r="AH14" i="25"/>
  <c r="AI14" i="25"/>
  <c r="AM14" i="25"/>
  <c r="AO14" i="25"/>
  <c r="I15" i="25"/>
  <c r="I14" i="25" s="1"/>
  <c r="I20" i="25" s="1"/>
  <c r="O15" i="25"/>
  <c r="O14" i="25" s="1"/>
  <c r="P15" i="25"/>
  <c r="P14" i="25" s="1"/>
  <c r="Q15" i="25"/>
  <c r="Q14" i="25"/>
  <c r="S15" i="25"/>
  <c r="S14" i="25" s="1"/>
  <c r="U15" i="25"/>
  <c r="U14" i="25" s="1"/>
  <c r="V15" i="25"/>
  <c r="V14" i="25" s="1"/>
  <c r="W15" i="25"/>
  <c r="W14" i="25" s="1"/>
  <c r="X15" i="25"/>
  <c r="X14" i="25" s="1"/>
  <c r="Y15" i="25"/>
  <c r="Y14" i="25" s="1"/>
  <c r="Z15" i="25"/>
  <c r="Z14" i="25" s="1"/>
  <c r="AA15" i="25"/>
  <c r="AA14" i="25" s="1"/>
  <c r="AB15" i="25"/>
  <c r="AB14" i="25" s="1"/>
  <c r="AB20" i="25" s="1"/>
  <c r="AC15" i="25"/>
  <c r="AC14" i="25" s="1"/>
  <c r="AD15" i="25"/>
  <c r="AF15" i="25"/>
  <c r="AF14" i="25" s="1"/>
  <c r="AG15" i="25"/>
  <c r="AJ14" i="25"/>
  <c r="AK14" i="25"/>
  <c r="AL15" i="25"/>
  <c r="AL14" i="25" s="1"/>
  <c r="AN15" i="25"/>
  <c r="AN14" i="25" s="1"/>
  <c r="AB18" i="25"/>
  <c r="AF18" i="25"/>
  <c r="AG18" i="25"/>
  <c r="AG14" i="25" s="1"/>
  <c r="H20" i="25"/>
  <c r="AE20" i="25"/>
  <c r="V10" i="24"/>
  <c r="O18" i="24"/>
  <c r="O20" i="24" s="1"/>
  <c r="P18" i="24"/>
  <c r="P20" i="24" s="1"/>
  <c r="Q18" i="24"/>
  <c r="R18" i="24"/>
  <c r="R20" i="24" s="1"/>
  <c r="S18" i="24"/>
  <c r="S20" i="24" s="1"/>
  <c r="T18" i="24"/>
  <c r="T20" i="24"/>
  <c r="U18" i="24"/>
  <c r="V18" i="24"/>
  <c r="W18" i="24"/>
  <c r="W20" i="24"/>
  <c r="X18" i="24"/>
  <c r="X20" i="24"/>
  <c r="Y18" i="24"/>
  <c r="Y20" i="24"/>
  <c r="Z18" i="24"/>
  <c r="Z20" i="24"/>
  <c r="AA18" i="24"/>
  <c r="AA20" i="24"/>
  <c r="AB18" i="24"/>
  <c r="AB20" i="24"/>
  <c r="AC18" i="24"/>
  <c r="AC20" i="24"/>
  <c r="AF18" i="24"/>
  <c r="AF20" i="24"/>
  <c r="AL18" i="24"/>
  <c r="AL20" i="24"/>
  <c r="B20" i="24"/>
  <c r="C20" i="24"/>
  <c r="D20" i="24"/>
  <c r="E20" i="24"/>
  <c r="F20" i="24"/>
  <c r="G20" i="24"/>
  <c r="H20" i="24"/>
  <c r="I20" i="24"/>
  <c r="J20" i="24"/>
  <c r="K20" i="24"/>
  <c r="L20" i="24"/>
  <c r="M20" i="24"/>
  <c r="N20" i="24"/>
  <c r="Q20" i="24"/>
  <c r="U20" i="24"/>
  <c r="AD20" i="24"/>
  <c r="AE20" i="24"/>
  <c r="AG20" i="24"/>
  <c r="AH20" i="24"/>
  <c r="AI20" i="24"/>
  <c r="AJ20" i="24"/>
  <c r="AK20" i="24"/>
  <c r="AM20" i="24"/>
  <c r="AN20" i="24"/>
  <c r="AO20" i="24"/>
  <c r="AC12" i="23"/>
  <c r="AC14" i="23" s="1"/>
  <c r="B20" i="23"/>
  <c r="C20" i="23"/>
  <c r="D20" i="23"/>
  <c r="E20" i="23"/>
  <c r="F20" i="23"/>
  <c r="G20" i="23"/>
  <c r="H20" i="23"/>
  <c r="I20" i="23"/>
  <c r="J20" i="23"/>
  <c r="K20" i="23"/>
  <c r="L20" i="23"/>
  <c r="M20" i="23"/>
  <c r="N20" i="23"/>
  <c r="O20" i="23"/>
  <c r="P20" i="23"/>
  <c r="Q20" i="23"/>
  <c r="R20" i="23"/>
  <c r="S20" i="23"/>
  <c r="T20" i="23"/>
  <c r="U20" i="23"/>
  <c r="V20" i="23"/>
  <c r="W20" i="23"/>
  <c r="X20" i="23"/>
  <c r="Y20" i="23"/>
  <c r="Z20" i="23"/>
  <c r="AA20" i="23"/>
  <c r="AB20" i="23"/>
  <c r="AC20" i="23"/>
  <c r="AD20" i="23"/>
  <c r="AE20" i="23"/>
  <c r="AF20" i="23"/>
  <c r="AG20" i="23"/>
  <c r="AH20" i="23"/>
  <c r="AI20" i="23"/>
  <c r="AJ20" i="23"/>
  <c r="AK20" i="23"/>
  <c r="AL20" i="23"/>
  <c r="AM20" i="23"/>
  <c r="AN20" i="23"/>
  <c r="AO20" i="23"/>
  <c r="I14" i="22"/>
  <c r="Q14" i="22"/>
  <c r="Y14" i="22"/>
  <c r="AC14" i="22"/>
  <c r="AK14" i="22"/>
  <c r="AB10" i="20"/>
  <c r="AD10" i="20"/>
  <c r="AH10" i="20"/>
  <c r="AI10" i="20"/>
  <c r="AN10" i="20"/>
  <c r="AO10" i="20"/>
  <c r="AB11" i="20"/>
  <c r="AD11" i="20"/>
  <c r="AH11" i="20"/>
  <c r="AI11" i="20"/>
  <c r="AN11" i="20"/>
  <c r="AO11" i="20"/>
  <c r="AB13" i="20"/>
  <c r="AD13" i="20"/>
  <c r="AH13" i="20"/>
  <c r="AI13" i="20"/>
  <c r="AN13" i="20"/>
  <c r="AO13" i="20"/>
  <c r="AB14" i="20"/>
  <c r="AD14" i="20"/>
  <c r="AH14" i="20"/>
  <c r="AI14" i="20"/>
  <c r="AN14" i="20"/>
  <c r="AO14" i="20"/>
  <c r="B15" i="20"/>
  <c r="B21" i="20" s="1"/>
  <c r="C15" i="20"/>
  <c r="C21" i="20" s="1"/>
  <c r="D15" i="20"/>
  <c r="D21" i="20" s="1"/>
  <c r="E15" i="20"/>
  <c r="E21" i="20" s="1"/>
  <c r="F15" i="20"/>
  <c r="F21" i="20" s="1"/>
  <c r="G15" i="20"/>
  <c r="H15" i="20"/>
  <c r="I15" i="20"/>
  <c r="I21" i="20" s="1"/>
  <c r="K15" i="20"/>
  <c r="K21" i="20" s="1"/>
  <c r="L15" i="20"/>
  <c r="M15" i="20"/>
  <c r="M21" i="20" s="1"/>
  <c r="N15" i="20"/>
  <c r="N21" i="20" s="1"/>
  <c r="O15" i="20"/>
  <c r="O21" i="20" s="1"/>
  <c r="P15" i="20"/>
  <c r="P21" i="20" s="1"/>
  <c r="Q15" i="20"/>
  <c r="Q21" i="20" s="1"/>
  <c r="R15" i="20"/>
  <c r="R21" i="20"/>
  <c r="S15" i="20"/>
  <c r="S21" i="20" s="1"/>
  <c r="T15" i="20"/>
  <c r="U15" i="20"/>
  <c r="U21" i="20"/>
  <c r="V15" i="20"/>
  <c r="V21" i="20" s="1"/>
  <c r="W15" i="20"/>
  <c r="X15" i="20"/>
  <c r="Y15" i="20"/>
  <c r="Y21" i="20" s="1"/>
  <c r="AB16" i="20"/>
  <c r="AD16" i="20"/>
  <c r="AH16" i="20"/>
  <c r="AI16" i="20"/>
  <c r="AI21" i="20" s="1"/>
  <c r="AN16" i="20"/>
  <c r="AO16" i="20"/>
  <c r="AB18" i="20"/>
  <c r="AD18" i="20"/>
  <c r="AH18" i="20"/>
  <c r="AI18" i="20"/>
  <c r="AN18" i="20"/>
  <c r="AA19" i="20"/>
  <c r="AA21" i="20" s="1"/>
  <c r="AB19" i="20"/>
  <c r="AD19" i="20"/>
  <c r="AH19" i="20"/>
  <c r="AI19" i="20"/>
  <c r="AN19" i="20"/>
  <c r="G21" i="20"/>
  <c r="H21" i="20"/>
  <c r="J21" i="20"/>
  <c r="L21" i="20"/>
  <c r="T21" i="20"/>
  <c r="W21" i="20"/>
  <c r="X21" i="20"/>
  <c r="Z21" i="20"/>
  <c r="AC21" i="20"/>
  <c r="AE21" i="20"/>
  <c r="AF21" i="20"/>
  <c r="AG21" i="20"/>
  <c r="AJ21" i="20"/>
  <c r="AK21" i="20"/>
  <c r="AL21" i="20"/>
  <c r="AM21" i="20"/>
  <c r="B14" i="19"/>
  <c r="C14" i="19"/>
  <c r="D14" i="19"/>
  <c r="E14" i="19"/>
  <c r="F14" i="19"/>
  <c r="G14" i="19"/>
  <c r="H14" i="19"/>
  <c r="I14" i="19"/>
  <c r="J14" i="19"/>
  <c r="K14" i="19"/>
  <c r="L14" i="19"/>
  <c r="M14" i="19"/>
  <c r="N14" i="19"/>
  <c r="O14" i="19"/>
  <c r="P14" i="19"/>
  <c r="Q14" i="19"/>
  <c r="R14" i="19"/>
  <c r="S14" i="19"/>
  <c r="T14" i="19"/>
  <c r="U14" i="19"/>
  <c r="V14" i="19"/>
  <c r="W14" i="19"/>
  <c r="X14" i="19"/>
  <c r="Y14" i="19"/>
  <c r="Z14" i="19"/>
  <c r="AA14" i="19"/>
  <c r="AB14" i="19"/>
  <c r="AC14" i="19"/>
  <c r="AD14" i="19"/>
  <c r="AE14" i="19"/>
  <c r="AF14" i="19"/>
  <c r="AG14" i="19"/>
  <c r="AH14" i="19"/>
  <c r="AI14" i="19"/>
  <c r="AJ14" i="19"/>
  <c r="AK14" i="19"/>
  <c r="AL14" i="19"/>
  <c r="AM14" i="19"/>
  <c r="AN14" i="19"/>
  <c r="AO14" i="19"/>
  <c r="C10" i="18"/>
  <c r="D10" i="18"/>
  <c r="E10" i="18"/>
  <c r="F10" i="18"/>
  <c r="G10" i="18"/>
  <c r="H10" i="18"/>
  <c r="I10" i="18"/>
  <c r="J10" i="18"/>
  <c r="K10" i="18"/>
  <c r="L10" i="18"/>
  <c r="M10" i="18"/>
  <c r="N10" i="18"/>
  <c r="O10" i="18"/>
  <c r="P10" i="18"/>
  <c r="Q10" i="18"/>
  <c r="R10" i="18"/>
  <c r="T10" i="18"/>
  <c r="V10" i="18"/>
  <c r="W10" i="18"/>
  <c r="X10" i="18"/>
  <c r="Y10" i="18"/>
  <c r="Z10" i="18"/>
  <c r="Z26" i="18" s="1"/>
  <c r="AA10" i="18"/>
  <c r="AD10" i="18"/>
  <c r="AF10" i="18"/>
  <c r="AJ10" i="18"/>
  <c r="AM10" i="18"/>
  <c r="AB13" i="18"/>
  <c r="AC13" i="18"/>
  <c r="AC10" i="18" s="1"/>
  <c r="AC26" i="18" s="1"/>
  <c r="AE13" i="18"/>
  <c r="AG13" i="18"/>
  <c r="AH13" i="18"/>
  <c r="AH10" i="18" s="1"/>
  <c r="AH26" i="18" s="1"/>
  <c r="AI13" i="18"/>
  <c r="AK13" i="18"/>
  <c r="AL13" i="18"/>
  <c r="AN13" i="18"/>
  <c r="AO13" i="18"/>
  <c r="U14" i="18"/>
  <c r="U10" i="18" s="1"/>
  <c r="U26" i="18" s="1"/>
  <c r="S17" i="18"/>
  <c r="S10" i="18" s="1"/>
  <c r="AB17" i="18"/>
  <c r="AE17" i="18"/>
  <c r="AG17" i="18"/>
  <c r="AH17" i="18"/>
  <c r="AI17" i="18"/>
  <c r="AK17" i="18"/>
  <c r="AL17" i="18"/>
  <c r="AN17" i="18"/>
  <c r="AO17" i="18"/>
  <c r="AB19" i="18"/>
  <c r="AE19" i="18"/>
  <c r="AG19" i="18"/>
  <c r="AH19" i="18"/>
  <c r="AI19" i="18"/>
  <c r="AK19" i="18"/>
  <c r="AL19" i="18"/>
  <c r="AN19" i="18"/>
  <c r="B22" i="18"/>
  <c r="C22" i="18"/>
  <c r="D22" i="18"/>
  <c r="E22" i="18"/>
  <c r="F22" i="18"/>
  <c r="F26" i="18" s="1"/>
  <c r="G22" i="18"/>
  <c r="H22" i="18"/>
  <c r="I22" i="18"/>
  <c r="J22" i="18"/>
  <c r="J26" i="18" s="1"/>
  <c r="K22" i="18"/>
  <c r="L22" i="18"/>
  <c r="M22" i="18"/>
  <c r="N22" i="18"/>
  <c r="O22" i="18"/>
  <c r="P22" i="18"/>
  <c r="Q22" i="18"/>
  <c r="R22" i="18"/>
  <c r="R26" i="18" s="1"/>
  <c r="S22" i="18"/>
  <c r="T22" i="18"/>
  <c r="U22" i="18"/>
  <c r="V22" i="18"/>
  <c r="W22" i="18"/>
  <c r="X22" i="18"/>
  <c r="Y22" i="18"/>
  <c r="Z22" i="18"/>
  <c r="AA22" i="18"/>
  <c r="AB22" i="18"/>
  <c r="AC22" i="18"/>
  <c r="AD22" i="18"/>
  <c r="AD26" i="18" s="1"/>
  <c r="AE22" i="18"/>
  <c r="AF22" i="18"/>
  <c r="AG22" i="18"/>
  <c r="AH22" i="18"/>
  <c r="AI22" i="18"/>
  <c r="AJ22" i="18"/>
  <c r="AK22" i="18"/>
  <c r="AL22" i="18"/>
  <c r="AM22" i="18"/>
  <c r="AN22" i="18"/>
  <c r="AO22" i="18"/>
  <c r="B26" i="18"/>
  <c r="C26" i="18"/>
  <c r="E26" i="18"/>
  <c r="G26" i="18"/>
  <c r="I26" i="18"/>
  <c r="M26" i="18"/>
  <c r="O26" i="18"/>
  <c r="W26" i="18"/>
  <c r="AA26" i="18"/>
  <c r="AM26" i="18"/>
  <c r="J11" i="17"/>
  <c r="K11" i="17"/>
  <c r="K20" i="17" s="1"/>
  <c r="K25" i="17" s="1"/>
  <c r="K31" i="17" s="1"/>
  <c r="K35" i="17" s="1"/>
  <c r="L11" i="17"/>
  <c r="N11" i="17"/>
  <c r="O11" i="17"/>
  <c r="P11" i="17"/>
  <c r="P20" i="17" s="1"/>
  <c r="P25" i="17" s="1"/>
  <c r="P31" i="17" s="1"/>
  <c r="P35" i="17" s="1"/>
  <c r="Q11" i="17"/>
  <c r="R11" i="17"/>
  <c r="S11" i="17"/>
  <c r="T11" i="17"/>
  <c r="U11" i="17"/>
  <c r="U20" i="17" s="1"/>
  <c r="U25" i="17" s="1"/>
  <c r="U31" i="17" s="1"/>
  <c r="V11" i="17"/>
  <c r="V20" i="17"/>
  <c r="V25" i="17" s="1"/>
  <c r="W11" i="17"/>
  <c r="W20" i="17" s="1"/>
  <c r="W25" i="17" s="1"/>
  <c r="W31" i="17" s="1"/>
  <c r="W35" i="17" s="1"/>
  <c r="X11" i="17"/>
  <c r="X20" i="17"/>
  <c r="X25" i="17" s="1"/>
  <c r="X31" i="17" s="1"/>
  <c r="X35" i="17" s="1"/>
  <c r="Y11" i="17"/>
  <c r="Y20" i="17" s="1"/>
  <c r="Y25" i="17" s="1"/>
  <c r="Y31" i="17" s="1"/>
  <c r="Y35" i="17" s="1"/>
  <c r="Z11" i="17"/>
  <c r="Z20" i="17"/>
  <c r="Z25" i="17" s="1"/>
  <c r="Z31" i="17" s="1"/>
  <c r="Z35" i="17" s="1"/>
  <c r="AA11" i="17"/>
  <c r="AA20" i="17" s="1"/>
  <c r="AA25" i="17"/>
  <c r="AA31" i="17" s="1"/>
  <c r="AA35" i="17" s="1"/>
  <c r="AB11" i="17"/>
  <c r="AB20" i="17"/>
  <c r="AB25" i="17" s="1"/>
  <c r="AB31" i="17"/>
  <c r="AB35" i="17" s="1"/>
  <c r="AC11" i="17"/>
  <c r="AC20" i="17" s="1"/>
  <c r="AC25" i="17" s="1"/>
  <c r="AC31" i="17" s="1"/>
  <c r="AC35" i="17" s="1"/>
  <c r="AD11" i="17"/>
  <c r="AD20" i="17"/>
  <c r="AD25" i="17" s="1"/>
  <c r="AD31" i="17"/>
  <c r="AD35" i="17" s="1"/>
  <c r="AE11" i="17"/>
  <c r="AE20" i="17" s="1"/>
  <c r="AE25" i="17" s="1"/>
  <c r="AE31" i="17" s="1"/>
  <c r="AE35" i="17" s="1"/>
  <c r="AL11" i="17"/>
  <c r="AL20" i="17"/>
  <c r="AL25" i="17"/>
  <c r="AL31" i="17" s="1"/>
  <c r="AL35" i="17" s="1"/>
  <c r="AM11" i="17"/>
  <c r="AN11" i="17"/>
  <c r="AN20" i="17" s="1"/>
  <c r="AN25" i="17" s="1"/>
  <c r="AN31" i="17" s="1"/>
  <c r="AN35" i="17"/>
  <c r="H18" i="17"/>
  <c r="H20" i="17" s="1"/>
  <c r="H25" i="17" s="1"/>
  <c r="H31" i="17" s="1"/>
  <c r="H35" i="17" s="1"/>
  <c r="I18" i="17"/>
  <c r="I20" i="17" s="1"/>
  <c r="I25" i="17" s="1"/>
  <c r="I31" i="17" s="1"/>
  <c r="J18" i="17"/>
  <c r="K18" i="17"/>
  <c r="L18" i="17"/>
  <c r="M18" i="17"/>
  <c r="M20" i="17"/>
  <c r="M25" i="17"/>
  <c r="M31" i="17" s="1"/>
  <c r="M35" i="17" s="1"/>
  <c r="N18" i="17"/>
  <c r="N20" i="17" s="1"/>
  <c r="N25" i="17" s="1"/>
  <c r="N31" i="17" s="1"/>
  <c r="N35" i="17" s="1"/>
  <c r="O18" i="17"/>
  <c r="P18" i="17"/>
  <c r="Q18" i="17"/>
  <c r="Q20" i="17" s="1"/>
  <c r="Q25" i="17" s="1"/>
  <c r="Q31" i="17" s="1"/>
  <c r="Q35" i="17" s="1"/>
  <c r="R18" i="17"/>
  <c r="R20" i="17" s="1"/>
  <c r="R25" i="17" s="1"/>
  <c r="R31" i="17" s="1"/>
  <c r="R35" i="17" s="1"/>
  <c r="S18" i="17"/>
  <c r="T18" i="17"/>
  <c r="AO18" i="17"/>
  <c r="AO20" i="17"/>
  <c r="AO25" i="17" s="1"/>
  <c r="AO31" i="17" s="1"/>
  <c r="AO35" i="17" s="1"/>
  <c r="B20" i="17"/>
  <c r="C20" i="17"/>
  <c r="C25" i="17" s="1"/>
  <c r="C31" i="17" s="1"/>
  <c r="C35" i="17" s="1"/>
  <c r="D20" i="17"/>
  <c r="D25" i="17" s="1"/>
  <c r="D31" i="17" s="1"/>
  <c r="D35" i="17" s="1"/>
  <c r="E20" i="17"/>
  <c r="E25" i="17" s="1"/>
  <c r="E31" i="17" s="1"/>
  <c r="E35" i="17" s="1"/>
  <c r="F20" i="17"/>
  <c r="F25" i="17" s="1"/>
  <c r="F31" i="17" s="1"/>
  <c r="F35" i="17" s="1"/>
  <c r="G20" i="17"/>
  <c r="G25" i="17"/>
  <c r="G31" i="17"/>
  <c r="G35" i="17" s="1"/>
  <c r="I35" i="17"/>
  <c r="U35" i="17"/>
  <c r="AF20" i="17"/>
  <c r="AF25" i="17" s="1"/>
  <c r="AF31" i="17" s="1"/>
  <c r="AF35" i="17" s="1"/>
  <c r="AG20" i="17"/>
  <c r="AG25" i="17"/>
  <c r="AG31" i="17" s="1"/>
  <c r="AG35" i="17" s="1"/>
  <c r="AH20" i="17"/>
  <c r="AH25" i="17"/>
  <c r="AH31" i="17"/>
  <c r="AH35" i="17" s="1"/>
  <c r="AI20" i="17"/>
  <c r="AJ20" i="17"/>
  <c r="AJ25" i="17"/>
  <c r="AJ31" i="17" s="1"/>
  <c r="AJ35" i="17" s="1"/>
  <c r="AK20" i="17"/>
  <c r="AK25" i="17" s="1"/>
  <c r="AK31" i="17" s="1"/>
  <c r="AK35" i="17" s="1"/>
  <c r="AM20" i="17"/>
  <c r="AM25" i="17"/>
  <c r="AM31" i="17" s="1"/>
  <c r="AM35" i="17" s="1"/>
  <c r="B25" i="17"/>
  <c r="B31" i="17" s="1"/>
  <c r="B35" i="17" s="1"/>
  <c r="AI25" i="17"/>
  <c r="AI31" i="17" s="1"/>
  <c r="AI35" i="17" s="1"/>
  <c r="V27" i="17"/>
  <c r="D12" i="15"/>
  <c r="F12" i="15"/>
  <c r="H12" i="15"/>
  <c r="J12" i="15"/>
  <c r="L12" i="15"/>
  <c r="N12" i="15"/>
  <c r="P12" i="15"/>
  <c r="R12" i="15"/>
  <c r="T12" i="15"/>
  <c r="Z12" i="15"/>
  <c r="AB12" i="15"/>
  <c r="AD12" i="15"/>
  <c r="AH12" i="15"/>
  <c r="AJ12" i="15"/>
  <c r="AL12" i="15"/>
  <c r="AN12" i="15"/>
  <c r="AP12" i="15"/>
  <c r="AR12" i="15"/>
  <c r="AT12" i="15"/>
  <c r="AV12" i="15"/>
  <c r="AX12" i="15"/>
  <c r="AZ12" i="15"/>
  <c r="BB12" i="15"/>
  <c r="D13" i="15"/>
  <c r="F13" i="15"/>
  <c r="H13" i="15"/>
  <c r="J13" i="15"/>
  <c r="L13" i="15"/>
  <c r="N13" i="15"/>
  <c r="P13" i="15"/>
  <c r="R13" i="15"/>
  <c r="T13" i="15"/>
  <c r="Z13" i="15"/>
  <c r="AB13" i="15"/>
  <c r="AD13" i="15"/>
  <c r="AH13" i="15"/>
  <c r="AJ13" i="15"/>
  <c r="AL13" i="15"/>
  <c r="AN13" i="15"/>
  <c r="AP13" i="15"/>
  <c r="AR13" i="15"/>
  <c r="AT13" i="15"/>
  <c r="AV13" i="15"/>
  <c r="AX13" i="15"/>
  <c r="AZ13" i="15"/>
  <c r="BB13" i="15"/>
  <c r="D14" i="15"/>
  <c r="F14" i="15"/>
  <c r="H14" i="15"/>
  <c r="J14" i="15"/>
  <c r="L14" i="15"/>
  <c r="N14" i="15"/>
  <c r="P14" i="15"/>
  <c r="R14" i="15"/>
  <c r="T14" i="15"/>
  <c r="Z14" i="15"/>
  <c r="AB14" i="15"/>
  <c r="AD14" i="15"/>
  <c r="AH14" i="15"/>
  <c r="AJ14" i="15"/>
  <c r="AL14" i="15"/>
  <c r="AN14" i="15"/>
  <c r="AP14" i="15"/>
  <c r="AR14" i="15"/>
  <c r="AT14" i="15"/>
  <c r="AV14" i="15"/>
  <c r="AX14" i="15"/>
  <c r="AZ14" i="15"/>
  <c r="BB14" i="15"/>
  <c r="D15" i="15"/>
  <c r="F15" i="15"/>
  <c r="H15" i="15"/>
  <c r="J15" i="15"/>
  <c r="L15" i="15"/>
  <c r="N15" i="15"/>
  <c r="P15" i="15"/>
  <c r="R15" i="15"/>
  <c r="T15" i="15"/>
  <c r="Z15" i="15"/>
  <c r="AB15" i="15"/>
  <c r="AD15" i="15"/>
  <c r="AH15" i="15"/>
  <c r="AJ15" i="15"/>
  <c r="AL15" i="15"/>
  <c r="AN15" i="15"/>
  <c r="AP15" i="15"/>
  <c r="AR15" i="15"/>
  <c r="AT15" i="15"/>
  <c r="AV15" i="15"/>
  <c r="AX15" i="15"/>
  <c r="AZ15" i="15"/>
  <c r="BB15" i="15"/>
  <c r="D16" i="15"/>
  <c r="F16" i="15"/>
  <c r="H16" i="15"/>
  <c r="J16" i="15"/>
  <c r="L16" i="15"/>
  <c r="N16" i="15"/>
  <c r="P16" i="15"/>
  <c r="R16" i="15"/>
  <c r="T16" i="15"/>
  <c r="Z16" i="15"/>
  <c r="AB16" i="15"/>
  <c r="AD16" i="15"/>
  <c r="AH16" i="15"/>
  <c r="AJ16" i="15"/>
  <c r="AL16" i="15"/>
  <c r="AN16" i="15"/>
  <c r="AP16" i="15"/>
  <c r="AR16" i="15"/>
  <c r="AT16" i="15"/>
  <c r="AV16" i="15"/>
  <c r="AX16" i="15"/>
  <c r="AZ16" i="15"/>
  <c r="BB16" i="15"/>
  <c r="D17" i="15"/>
  <c r="F17" i="15"/>
  <c r="H17" i="15"/>
  <c r="J17" i="15"/>
  <c r="L17" i="15"/>
  <c r="N17" i="15"/>
  <c r="P17" i="15"/>
  <c r="R17" i="15"/>
  <c r="T17" i="15"/>
  <c r="Z17" i="15"/>
  <c r="AB17" i="15"/>
  <c r="AD17" i="15"/>
  <c r="AH17" i="15"/>
  <c r="AJ17" i="15"/>
  <c r="AL17" i="15"/>
  <c r="AN17" i="15"/>
  <c r="AP17" i="15"/>
  <c r="AR17" i="15"/>
  <c r="AT17" i="15"/>
  <c r="AV17" i="15"/>
  <c r="AX17" i="15"/>
  <c r="AZ17" i="15"/>
  <c r="BB17" i="15"/>
  <c r="D18" i="15"/>
  <c r="F18" i="15"/>
  <c r="H18" i="15"/>
  <c r="J18" i="15"/>
  <c r="L18" i="15"/>
  <c r="N18" i="15"/>
  <c r="P18" i="15"/>
  <c r="R18" i="15"/>
  <c r="T18" i="15"/>
  <c r="Z18" i="15"/>
  <c r="AB18" i="15"/>
  <c r="AD18" i="15"/>
  <c r="AH18" i="15"/>
  <c r="AJ18" i="15"/>
  <c r="AL18" i="15"/>
  <c r="AN18" i="15"/>
  <c r="AP18" i="15"/>
  <c r="AR18" i="15"/>
  <c r="AT18" i="15"/>
  <c r="AV18" i="15"/>
  <c r="AX18" i="15"/>
  <c r="AZ18" i="15"/>
  <c r="BB18" i="15"/>
  <c r="D19" i="15"/>
  <c r="F19" i="15"/>
  <c r="H19" i="15"/>
  <c r="J19" i="15"/>
  <c r="L19" i="15"/>
  <c r="N19" i="15"/>
  <c r="P19" i="15"/>
  <c r="R19" i="15"/>
  <c r="T19" i="15"/>
  <c r="Z19" i="15"/>
  <c r="AB19" i="15"/>
  <c r="AD19" i="15"/>
  <c r="AH19" i="15"/>
  <c r="AJ19" i="15"/>
  <c r="AL19" i="15"/>
  <c r="AN19" i="15"/>
  <c r="AP19" i="15"/>
  <c r="AR19" i="15"/>
  <c r="AT19" i="15"/>
  <c r="AV19" i="15"/>
  <c r="AX19" i="15"/>
  <c r="AZ19" i="15"/>
  <c r="BB19" i="15"/>
  <c r="C21" i="15"/>
  <c r="E21" i="15"/>
  <c r="G21" i="15"/>
  <c r="I21" i="15"/>
  <c r="K21" i="15"/>
  <c r="M21" i="15"/>
  <c r="O21" i="15"/>
  <c r="Q21" i="15"/>
  <c r="S21" i="15"/>
  <c r="U21" i="15"/>
  <c r="W21" i="15"/>
  <c r="Y21" i="15"/>
  <c r="AA21" i="15"/>
  <c r="AC21" i="15"/>
  <c r="AE21" i="15"/>
  <c r="AG21" i="15"/>
  <c r="AI21" i="15"/>
  <c r="AK21" i="15"/>
  <c r="AM21" i="15"/>
  <c r="AO21" i="15"/>
  <c r="AQ21" i="15"/>
  <c r="AS21" i="15"/>
  <c r="AU21" i="15"/>
  <c r="AW21" i="15"/>
  <c r="AY21" i="15"/>
  <c r="BA21" i="15"/>
  <c r="BC21" i="15"/>
  <c r="BE21" i="15"/>
  <c r="BG21" i="15"/>
  <c r="BI21" i="15"/>
  <c r="BK21" i="15"/>
  <c r="BM21" i="15"/>
  <c r="BO21" i="15"/>
  <c r="BQ21" i="15"/>
  <c r="BS21" i="15"/>
  <c r="BU21" i="15"/>
  <c r="BW21" i="15"/>
  <c r="BY21" i="15"/>
  <c r="CA21" i="15"/>
  <c r="CC21" i="15"/>
  <c r="K10" i="14"/>
  <c r="M10" i="14"/>
  <c r="O10" i="14"/>
  <c r="Q10" i="14"/>
  <c r="S10" i="14"/>
  <c r="U10" i="14"/>
  <c r="W10" i="14"/>
  <c r="Y10" i="14"/>
  <c r="AA10" i="14"/>
  <c r="AC10" i="14"/>
  <c r="AE10" i="14"/>
  <c r="AG10" i="14"/>
  <c r="AI10" i="14"/>
  <c r="AK10" i="14"/>
  <c r="AM10" i="14"/>
  <c r="AO10" i="14"/>
  <c r="AQ10" i="14"/>
  <c r="AS10" i="14"/>
  <c r="AU10" i="14"/>
  <c r="AW10" i="14"/>
  <c r="AY10" i="14"/>
  <c r="BA10" i="14"/>
  <c r="K11" i="14"/>
  <c r="M11" i="14"/>
  <c r="O11" i="14"/>
  <c r="Q11" i="14"/>
  <c r="S11" i="14"/>
  <c r="U11" i="14"/>
  <c r="W11" i="14"/>
  <c r="Y11" i="14"/>
  <c r="AA11" i="14"/>
  <c r="AC11" i="14"/>
  <c r="AE11" i="14"/>
  <c r="AG11" i="14"/>
  <c r="AI11" i="14"/>
  <c r="AK11" i="14"/>
  <c r="AM11" i="14"/>
  <c r="AO11" i="14"/>
  <c r="AQ11" i="14"/>
  <c r="AS11" i="14"/>
  <c r="AU11" i="14"/>
  <c r="AW11" i="14"/>
  <c r="AY11" i="14"/>
  <c r="BA11" i="14"/>
  <c r="K12" i="14"/>
  <c r="M12" i="14"/>
  <c r="O12" i="14"/>
  <c r="Q12" i="14"/>
  <c r="S12" i="14"/>
  <c r="U12" i="14"/>
  <c r="W12" i="14"/>
  <c r="Y12" i="14"/>
  <c r="AA12" i="14"/>
  <c r="AC12" i="14"/>
  <c r="AE12" i="14"/>
  <c r="AG12" i="14"/>
  <c r="AI12" i="14"/>
  <c r="AK12" i="14"/>
  <c r="AM12" i="14"/>
  <c r="AO12" i="14"/>
  <c r="AQ12" i="14"/>
  <c r="AS12" i="14"/>
  <c r="AU12" i="14"/>
  <c r="AW12" i="14"/>
  <c r="AY12" i="14"/>
  <c r="BA12" i="14"/>
  <c r="K13" i="14"/>
  <c r="M13" i="14"/>
  <c r="O13" i="14"/>
  <c r="Q13" i="14"/>
  <c r="S13" i="14"/>
  <c r="U13" i="14"/>
  <c r="W13" i="14"/>
  <c r="Y13" i="14"/>
  <c r="AA13" i="14"/>
  <c r="AC13" i="14"/>
  <c r="AE13" i="14"/>
  <c r="AG13" i="14"/>
  <c r="AI13" i="14"/>
  <c r="AK13" i="14"/>
  <c r="AM13" i="14"/>
  <c r="AO13" i="14"/>
  <c r="AQ13" i="14"/>
  <c r="AS13" i="14"/>
  <c r="AU13" i="14"/>
  <c r="AW13" i="14"/>
  <c r="AY13" i="14"/>
  <c r="BA13" i="14"/>
  <c r="K14" i="14"/>
  <c r="M14" i="14"/>
  <c r="O14" i="14"/>
  <c r="Q14" i="14"/>
  <c r="S14" i="14"/>
  <c r="U14" i="14"/>
  <c r="W14" i="14"/>
  <c r="Y14" i="14"/>
  <c r="AA14" i="14"/>
  <c r="AC14" i="14"/>
  <c r="AE14" i="14"/>
  <c r="AG14" i="14"/>
  <c r="AI14" i="14"/>
  <c r="AK14" i="14"/>
  <c r="AM14" i="14"/>
  <c r="AO14" i="14"/>
  <c r="AQ14" i="14"/>
  <c r="AS14" i="14"/>
  <c r="AU14" i="14"/>
  <c r="AW14" i="14"/>
  <c r="AY14" i="14"/>
  <c r="BA14" i="14"/>
  <c r="AF15" i="13"/>
  <c r="AG15" i="13"/>
  <c r="E15" i="13"/>
  <c r="I15" i="13"/>
  <c r="Q15" i="13"/>
  <c r="U15" i="13"/>
  <c r="AC15" i="13"/>
  <c r="AO15" i="13"/>
  <c r="D15" i="13"/>
  <c r="M15" i="13"/>
  <c r="O15" i="13"/>
  <c r="Y15" i="13"/>
  <c r="AK15" i="13"/>
  <c r="B14" i="11"/>
  <c r="C14" i="11"/>
  <c r="D14" i="11"/>
  <c r="E14" i="11"/>
  <c r="F14" i="11"/>
  <c r="G14" i="11"/>
  <c r="H14" i="11"/>
  <c r="I14" i="11"/>
  <c r="J14" i="11"/>
  <c r="K14" i="11"/>
  <c r="L14" i="11"/>
  <c r="M14" i="11"/>
  <c r="N14" i="11"/>
  <c r="G12" i="10"/>
  <c r="G20" i="10" s="1"/>
  <c r="I12" i="10"/>
  <c r="I20" i="10"/>
  <c r="J12" i="10"/>
  <c r="J20" i="10" s="1"/>
  <c r="K12" i="10"/>
  <c r="L12" i="10"/>
  <c r="L20" i="10"/>
  <c r="M12" i="10"/>
  <c r="M20" i="10"/>
  <c r="N12" i="10"/>
  <c r="N20" i="10"/>
  <c r="O12" i="10"/>
  <c r="O20" i="10"/>
  <c r="P12" i="10"/>
  <c r="P20" i="10"/>
  <c r="Q12" i="10"/>
  <c r="R12" i="10"/>
  <c r="R20" i="10" s="1"/>
  <c r="B16" i="10"/>
  <c r="B12" i="10" s="1"/>
  <c r="B20" i="10" s="1"/>
  <c r="C16" i="10"/>
  <c r="C12" i="10" s="1"/>
  <c r="C20" i="10" s="1"/>
  <c r="D16" i="10"/>
  <c r="E16" i="10"/>
  <c r="F16" i="10"/>
  <c r="H16" i="10"/>
  <c r="B18" i="10"/>
  <c r="C18" i="10"/>
  <c r="D18" i="10"/>
  <c r="D12" i="10" s="1"/>
  <c r="D20" i="10" s="1"/>
  <c r="E18" i="10"/>
  <c r="F18" i="10"/>
  <c r="F12" i="10" s="1"/>
  <c r="F20" i="10" s="1"/>
  <c r="H18" i="10"/>
  <c r="H12" i="10" s="1"/>
  <c r="H20" i="10" s="1"/>
  <c r="K20" i="10"/>
  <c r="Q20" i="10"/>
  <c r="B10" i="8"/>
  <c r="C10" i="8"/>
  <c r="D10" i="8"/>
  <c r="E10" i="8"/>
  <c r="F10" i="8"/>
  <c r="G10" i="8"/>
  <c r="H10" i="8"/>
  <c r="I10" i="8"/>
  <c r="J10" i="8"/>
  <c r="K10" i="8"/>
  <c r="L10" i="8"/>
  <c r="M10" i="8"/>
  <c r="O10" i="8"/>
  <c r="P10" i="8"/>
  <c r="P30" i="8" s="1"/>
  <c r="P36" i="8" s="1"/>
  <c r="Q10" i="8"/>
  <c r="R10" i="8"/>
  <c r="S10" i="8"/>
  <c r="T10" i="8"/>
  <c r="U10" i="8"/>
  <c r="V10" i="8"/>
  <c r="W10" i="8"/>
  <c r="X10" i="8"/>
  <c r="X30" i="8" s="1"/>
  <c r="X36" i="8" s="1"/>
  <c r="Y10" i="8"/>
  <c r="AA10" i="8"/>
  <c r="AA30" i="8" s="1"/>
  <c r="AB10" i="8"/>
  <c r="AC10" i="8"/>
  <c r="AD10" i="8"/>
  <c r="AG10" i="8"/>
  <c r="AH10" i="8"/>
  <c r="AI10" i="8"/>
  <c r="AJ10" i="8"/>
  <c r="AK10" i="8"/>
  <c r="AL10" i="8"/>
  <c r="AM10" i="8"/>
  <c r="AM30" i="8" s="1"/>
  <c r="AM36" i="8" s="1"/>
  <c r="AN10" i="8"/>
  <c r="AO10" i="8"/>
  <c r="AE15" i="8"/>
  <c r="AE10" i="8"/>
  <c r="AF15" i="8"/>
  <c r="AF10" i="8"/>
  <c r="AF30" i="8" s="1"/>
  <c r="N17" i="8"/>
  <c r="N10" i="8" s="1"/>
  <c r="Z17" i="8"/>
  <c r="Z10" i="8"/>
  <c r="B19" i="8"/>
  <c r="C19" i="8"/>
  <c r="D19" i="8"/>
  <c r="E19" i="8"/>
  <c r="E30" i="8" s="1"/>
  <c r="E36" i="8" s="1"/>
  <c r="F19" i="8"/>
  <c r="G19" i="8"/>
  <c r="H19" i="8"/>
  <c r="I19" i="8"/>
  <c r="K19" i="8"/>
  <c r="K30" i="8" s="1"/>
  <c r="K36" i="8" s="1"/>
  <c r="M19" i="8"/>
  <c r="Q19" i="8"/>
  <c r="W19" i="8"/>
  <c r="W30" i="8" s="1"/>
  <c r="X19" i="8"/>
  <c r="AE19" i="8"/>
  <c r="AF19" i="8"/>
  <c r="AG19" i="8"/>
  <c r="AH19" i="8"/>
  <c r="AH30" i="8"/>
  <c r="AI19" i="8"/>
  <c r="AI30" i="8" s="1"/>
  <c r="AI36" i="8" s="1"/>
  <c r="AJ19" i="8"/>
  <c r="AK19" i="8"/>
  <c r="AL19" i="8"/>
  <c r="AL30" i="8"/>
  <c r="AM19" i="8"/>
  <c r="AN19" i="8"/>
  <c r="AO19" i="8"/>
  <c r="J26" i="8"/>
  <c r="J19" i="8" s="1"/>
  <c r="J30" i="8" s="1"/>
  <c r="L26" i="8"/>
  <c r="L19" i="8"/>
  <c r="L30" i="8" s="1"/>
  <c r="N26" i="8"/>
  <c r="N19" i="8" s="1"/>
  <c r="O26" i="8"/>
  <c r="O19" i="8"/>
  <c r="O30" i="8" s="1"/>
  <c r="O36" i="8" s="1"/>
  <c r="P26" i="8"/>
  <c r="P19" i="8"/>
  <c r="R26" i="8"/>
  <c r="R19" i="8" s="1"/>
  <c r="R30" i="8" s="1"/>
  <c r="S26" i="8"/>
  <c r="S19" i="8" s="1"/>
  <c r="S30" i="8" s="1"/>
  <c r="S36" i="8" s="1"/>
  <c r="T26" i="8"/>
  <c r="T19" i="8"/>
  <c r="U26" i="8"/>
  <c r="U19" i="8" s="1"/>
  <c r="U30" i="8" s="1"/>
  <c r="V26" i="8"/>
  <c r="V19" i="8"/>
  <c r="V30" i="8" s="1"/>
  <c r="Y26" i="8"/>
  <c r="Y19" i="8" s="1"/>
  <c r="Z26" i="8"/>
  <c r="Z19" i="8"/>
  <c r="AA26" i="8"/>
  <c r="AA19" i="8"/>
  <c r="AB26" i="8"/>
  <c r="AB19" i="8" s="1"/>
  <c r="AB30" i="8" s="1"/>
  <c r="AB36" i="8" s="1"/>
  <c r="AC26" i="8"/>
  <c r="AC19" i="8"/>
  <c r="AD26" i="8"/>
  <c r="AD19" i="8"/>
  <c r="N28" i="8"/>
  <c r="B30" i="8"/>
  <c r="F30" i="8"/>
  <c r="AN30" i="8"/>
  <c r="B32" i="8"/>
  <c r="C32" i="8"/>
  <c r="D32" i="8"/>
  <c r="E32" i="8"/>
  <c r="F32" i="8"/>
  <c r="G32" i="8"/>
  <c r="H32" i="8"/>
  <c r="I32" i="8"/>
  <c r="J32" i="8"/>
  <c r="J36" i="8" s="1"/>
  <c r="K32" i="8"/>
  <c r="L32" i="8"/>
  <c r="M32" i="8"/>
  <c r="N32" i="8"/>
  <c r="O32" i="8"/>
  <c r="P32" i="8"/>
  <c r="Q32" i="8"/>
  <c r="R32" i="8"/>
  <c r="S32" i="8"/>
  <c r="T32" i="8"/>
  <c r="U32" i="8"/>
  <c r="V32" i="8"/>
  <c r="W32" i="8"/>
  <c r="X32" i="8"/>
  <c r="Y32" i="8"/>
  <c r="Z32" i="8"/>
  <c r="AA32" i="8"/>
  <c r="AB32" i="8"/>
  <c r="AC32" i="8"/>
  <c r="AD32" i="8"/>
  <c r="AE32" i="8"/>
  <c r="AF32" i="8"/>
  <c r="AG32" i="8"/>
  <c r="AH32" i="8"/>
  <c r="AH36" i="8" s="1"/>
  <c r="AI32" i="8"/>
  <c r="AJ32" i="8"/>
  <c r="AK32" i="8"/>
  <c r="AL32" i="8"/>
  <c r="AM32" i="8"/>
  <c r="AN32" i="8"/>
  <c r="AO32" i="8"/>
  <c r="N11" i="7"/>
  <c r="N14" i="7" s="1"/>
  <c r="N19" i="7" s="1"/>
  <c r="N21" i="7" s="1"/>
  <c r="B14" i="7"/>
  <c r="B19" i="7" s="1"/>
  <c r="B21" i="7" s="1"/>
  <c r="C14" i="7"/>
  <c r="D14" i="7"/>
  <c r="D19" i="7"/>
  <c r="D21" i="7"/>
  <c r="E14" i="7"/>
  <c r="E19" i="7" s="1"/>
  <c r="E21" i="7" s="1"/>
  <c r="F14" i="7"/>
  <c r="G14" i="7"/>
  <c r="H14" i="7"/>
  <c r="I14" i="7"/>
  <c r="I19" i="7"/>
  <c r="I21" i="7" s="1"/>
  <c r="J14" i="7"/>
  <c r="K14" i="7"/>
  <c r="L14" i="7"/>
  <c r="M14" i="7"/>
  <c r="M19" i="7"/>
  <c r="M21" i="7" s="1"/>
  <c r="O14" i="7"/>
  <c r="P14" i="7"/>
  <c r="P19" i="7"/>
  <c r="P21" i="7" s="1"/>
  <c r="Q14" i="7"/>
  <c r="Q19" i="7" s="1"/>
  <c r="Q21" i="7"/>
  <c r="R14" i="7"/>
  <c r="R19" i="7"/>
  <c r="R21" i="7" s="1"/>
  <c r="S14" i="7"/>
  <c r="T14" i="7"/>
  <c r="T19" i="7"/>
  <c r="T21" i="7" s="1"/>
  <c r="U14" i="7"/>
  <c r="V14" i="7"/>
  <c r="V19" i="7"/>
  <c r="V21" i="7" s="1"/>
  <c r="W14" i="7"/>
  <c r="X14" i="7"/>
  <c r="X19" i="7"/>
  <c r="X21" i="7" s="1"/>
  <c r="Y14" i="7"/>
  <c r="Y15" i="7" s="1"/>
  <c r="Z14" i="7"/>
  <c r="AA14" i="7"/>
  <c r="AB14" i="7"/>
  <c r="AB19" i="7" s="1"/>
  <c r="AC14" i="7"/>
  <c r="AC19" i="7" s="1"/>
  <c r="AD14" i="7"/>
  <c r="AD19" i="7" s="1"/>
  <c r="AE14" i="7"/>
  <c r="AE19" i="7" s="1"/>
  <c r="AF14" i="7"/>
  <c r="AF19" i="7" s="1"/>
  <c r="AG14" i="7"/>
  <c r="AG19" i="7"/>
  <c r="AH14" i="7"/>
  <c r="AH19" i="7" s="1"/>
  <c r="AI14" i="7"/>
  <c r="AJ14" i="7"/>
  <c r="AJ19" i="7" s="1"/>
  <c r="AK14" i="7"/>
  <c r="AK19" i="7" s="1"/>
  <c r="AL14" i="7"/>
  <c r="AL19" i="7" s="1"/>
  <c r="AM14" i="7"/>
  <c r="AN14" i="7"/>
  <c r="AN19" i="7"/>
  <c r="AO14" i="7"/>
  <c r="AO19" i="7" s="1"/>
  <c r="B15" i="7"/>
  <c r="C15" i="7"/>
  <c r="D15" i="7"/>
  <c r="E15" i="7"/>
  <c r="G15" i="7"/>
  <c r="I15" i="7"/>
  <c r="J15" i="7"/>
  <c r="K15" i="7"/>
  <c r="M15" i="7"/>
  <c r="O15" i="7"/>
  <c r="P15" i="7"/>
  <c r="Q15" i="7"/>
  <c r="R15" i="7"/>
  <c r="T15" i="7"/>
  <c r="V15" i="7"/>
  <c r="W15" i="7"/>
  <c r="X15" i="7"/>
  <c r="AA15" i="7"/>
  <c r="C19" i="7"/>
  <c r="C21" i="7"/>
  <c r="G19" i="7"/>
  <c r="G21" i="7"/>
  <c r="J19" i="7"/>
  <c r="J21" i="7"/>
  <c r="K19" i="7"/>
  <c r="K21" i="7"/>
  <c r="O19" i="7"/>
  <c r="O21" i="7"/>
  <c r="W19" i="7"/>
  <c r="W21" i="7"/>
  <c r="AA19" i="7"/>
  <c r="AA21" i="7"/>
  <c r="AI19" i="7"/>
  <c r="AM19" i="7"/>
  <c r="C12" i="6"/>
  <c r="D12" i="6"/>
  <c r="D23" i="6" s="1"/>
  <c r="F12" i="6"/>
  <c r="G12" i="6"/>
  <c r="I12" i="6"/>
  <c r="J12" i="6"/>
  <c r="J23" i="6" s="1"/>
  <c r="L12" i="6"/>
  <c r="M12" i="6"/>
  <c r="O12" i="6"/>
  <c r="P12" i="6"/>
  <c r="R12" i="6"/>
  <c r="S12" i="6"/>
  <c r="U12" i="6"/>
  <c r="V12" i="6"/>
  <c r="X12" i="6"/>
  <c r="Y12" i="6"/>
  <c r="AA12" i="6"/>
  <c r="AB12" i="6"/>
  <c r="AD12" i="6"/>
  <c r="AE12" i="6"/>
  <c r="AG12" i="6"/>
  <c r="AH12" i="6"/>
  <c r="AJ12" i="6"/>
  <c r="AK12" i="6"/>
  <c r="AM12" i="6"/>
  <c r="AN12" i="6"/>
  <c r="AP12" i="6"/>
  <c r="AQ12" i="6"/>
  <c r="AS12" i="6"/>
  <c r="AT12" i="6"/>
  <c r="AV12" i="6"/>
  <c r="AW12" i="6"/>
  <c r="AY12" i="6"/>
  <c r="AZ12" i="6"/>
  <c r="BB12" i="6"/>
  <c r="BC12" i="6"/>
  <c r="BE12" i="6"/>
  <c r="BF12" i="6"/>
  <c r="BH12" i="6"/>
  <c r="BI12" i="6"/>
  <c r="BK12" i="6"/>
  <c r="BL12" i="6"/>
  <c r="BN12" i="6"/>
  <c r="BO12" i="6"/>
  <c r="BQ12" i="6"/>
  <c r="BR12" i="6"/>
  <c r="BT12" i="6"/>
  <c r="BU12" i="6"/>
  <c r="BW12" i="6"/>
  <c r="BX12" i="6"/>
  <c r="BZ12" i="6"/>
  <c r="CA12" i="6"/>
  <c r="CB12" i="6"/>
  <c r="CC12" i="6"/>
  <c r="CC23" i="6" s="1"/>
  <c r="CD12" i="6"/>
  <c r="CF12" i="6"/>
  <c r="CG12" i="6"/>
  <c r="CI12" i="6"/>
  <c r="CJ12" i="6"/>
  <c r="CL12" i="6"/>
  <c r="CM12" i="6"/>
  <c r="CO12" i="6"/>
  <c r="CP12" i="6"/>
  <c r="CR12" i="6"/>
  <c r="CS12" i="6"/>
  <c r="CU12" i="6"/>
  <c r="CV12" i="6"/>
  <c r="CX12" i="6"/>
  <c r="CY12" i="6"/>
  <c r="DA12" i="6"/>
  <c r="DB12" i="6"/>
  <c r="DD12" i="6"/>
  <c r="DE12" i="6"/>
  <c r="DG12" i="6"/>
  <c r="DH12" i="6"/>
  <c r="DJ12" i="6"/>
  <c r="DK12" i="6"/>
  <c r="DL12" i="6"/>
  <c r="DM12" i="6"/>
  <c r="DN12" i="6"/>
  <c r="DP12" i="6"/>
  <c r="DQ12" i="6"/>
  <c r="B13" i="6"/>
  <c r="E13" i="6"/>
  <c r="H13" i="6"/>
  <c r="N13" i="6"/>
  <c r="Q13" i="6"/>
  <c r="T13" i="6"/>
  <c r="W13" i="6"/>
  <c r="Z13" i="6"/>
  <c r="AC13" i="6"/>
  <c r="AF13" i="6"/>
  <c r="AI13" i="6"/>
  <c r="AL13" i="6"/>
  <c r="AO13" i="6"/>
  <c r="AR13" i="6"/>
  <c r="AU13" i="6"/>
  <c r="AX13" i="6"/>
  <c r="BA13" i="6"/>
  <c r="BD13" i="6"/>
  <c r="BG13" i="6"/>
  <c r="BJ13" i="6"/>
  <c r="BM13" i="6"/>
  <c r="BP13" i="6"/>
  <c r="BS13" i="6"/>
  <c r="BV13" i="6"/>
  <c r="BY13" i="6"/>
  <c r="CE13" i="6"/>
  <c r="CH13" i="6"/>
  <c r="CK13" i="6"/>
  <c r="CN13" i="6"/>
  <c r="CQ13" i="6"/>
  <c r="CT13" i="6"/>
  <c r="CW13" i="6"/>
  <c r="CZ13" i="6"/>
  <c r="DC13" i="6"/>
  <c r="DF13" i="6"/>
  <c r="DI13" i="6"/>
  <c r="DO13" i="6"/>
  <c r="B14" i="6"/>
  <c r="E14" i="6"/>
  <c r="H14" i="6"/>
  <c r="K14" i="6"/>
  <c r="N14" i="6"/>
  <c r="Q14" i="6"/>
  <c r="W14" i="6"/>
  <c r="Z14" i="6"/>
  <c r="AC14" i="6"/>
  <c r="AF14" i="6"/>
  <c r="AI14" i="6"/>
  <c r="AL14" i="6"/>
  <c r="AO14" i="6"/>
  <c r="AR14" i="6"/>
  <c r="AU14" i="6"/>
  <c r="AX14" i="6"/>
  <c r="BA14" i="6"/>
  <c r="BD14" i="6"/>
  <c r="BG14" i="6"/>
  <c r="BJ14" i="6"/>
  <c r="BM14" i="6"/>
  <c r="BP14" i="6"/>
  <c r="BS14" i="6"/>
  <c r="BV14" i="6"/>
  <c r="BY14" i="6"/>
  <c r="CE14" i="6"/>
  <c r="CH14" i="6"/>
  <c r="CK14" i="6"/>
  <c r="CN14" i="6"/>
  <c r="CQ14" i="6"/>
  <c r="CT14" i="6"/>
  <c r="CW14" i="6"/>
  <c r="CZ14" i="6"/>
  <c r="DC14" i="6"/>
  <c r="DF14" i="6"/>
  <c r="DI14" i="6"/>
  <c r="DO14" i="6"/>
  <c r="B15" i="6"/>
  <c r="E15" i="6"/>
  <c r="H15" i="6"/>
  <c r="K15" i="6"/>
  <c r="T15" i="6"/>
  <c r="Z15" i="6"/>
  <c r="AC15" i="6"/>
  <c r="AF15" i="6"/>
  <c r="AI15" i="6"/>
  <c r="AL15" i="6"/>
  <c r="AO15" i="6"/>
  <c r="AR15" i="6"/>
  <c r="AU15" i="6"/>
  <c r="AX15" i="6"/>
  <c r="BA15" i="6"/>
  <c r="BD15" i="6"/>
  <c r="BG15" i="6"/>
  <c r="BJ15" i="6"/>
  <c r="BM15" i="6"/>
  <c r="BP15" i="6"/>
  <c r="BS15" i="6"/>
  <c r="BV15" i="6"/>
  <c r="BY15" i="6"/>
  <c r="CE15" i="6"/>
  <c r="CH15" i="6"/>
  <c r="CK15" i="6"/>
  <c r="CN15" i="6"/>
  <c r="CQ15" i="6"/>
  <c r="CT15" i="6"/>
  <c r="CW15" i="6"/>
  <c r="CZ15" i="6"/>
  <c r="DC15" i="6"/>
  <c r="DF15" i="6"/>
  <c r="DI15" i="6"/>
  <c r="DO15" i="6"/>
  <c r="B16" i="6"/>
  <c r="E16" i="6"/>
  <c r="H16" i="6"/>
  <c r="K16" i="6"/>
  <c r="Q16" i="6"/>
  <c r="T16" i="6"/>
  <c r="W16" i="6"/>
  <c r="Z16" i="6"/>
  <c r="AC16" i="6"/>
  <c r="AF16" i="6"/>
  <c r="AI16" i="6"/>
  <c r="AL16" i="6"/>
  <c r="AO16" i="6"/>
  <c r="AR16" i="6"/>
  <c r="AU16" i="6"/>
  <c r="AX16" i="6"/>
  <c r="BA16" i="6"/>
  <c r="BD16" i="6"/>
  <c r="BG16" i="6"/>
  <c r="BJ16" i="6"/>
  <c r="BM16" i="6"/>
  <c r="BP16" i="6"/>
  <c r="BS16" i="6"/>
  <c r="BV16" i="6"/>
  <c r="BY16" i="6"/>
  <c r="CE16" i="6"/>
  <c r="CH16" i="6"/>
  <c r="CK16" i="6"/>
  <c r="CN16" i="6"/>
  <c r="CQ16" i="6"/>
  <c r="CT16" i="6"/>
  <c r="CW16" i="6"/>
  <c r="CZ16" i="6"/>
  <c r="DC16" i="6"/>
  <c r="DF16" i="6"/>
  <c r="DI16" i="6"/>
  <c r="DO16" i="6"/>
  <c r="B17" i="6"/>
  <c r="E17" i="6"/>
  <c r="H17" i="6"/>
  <c r="K17" i="6"/>
  <c r="N17" i="6"/>
  <c r="Q17" i="6"/>
  <c r="Z17" i="6"/>
  <c r="AC17" i="6"/>
  <c r="AF17" i="6"/>
  <c r="AI17" i="6"/>
  <c r="AL17" i="6"/>
  <c r="AO17" i="6"/>
  <c r="AR17" i="6"/>
  <c r="AU17" i="6"/>
  <c r="AX17" i="6"/>
  <c r="BA17" i="6"/>
  <c r="BD17" i="6"/>
  <c r="BG17" i="6"/>
  <c r="BJ17" i="6"/>
  <c r="BM17" i="6"/>
  <c r="BP17" i="6"/>
  <c r="BS17" i="6"/>
  <c r="BV17" i="6"/>
  <c r="BY17" i="6"/>
  <c r="CE17" i="6"/>
  <c r="CH17" i="6"/>
  <c r="CK17" i="6"/>
  <c r="CN17" i="6"/>
  <c r="CQ17" i="6"/>
  <c r="CT17" i="6"/>
  <c r="CW17" i="6"/>
  <c r="CZ17" i="6"/>
  <c r="DC17" i="6"/>
  <c r="DF17" i="6"/>
  <c r="DI17" i="6"/>
  <c r="DO17" i="6"/>
  <c r="B18" i="6"/>
  <c r="E18" i="6"/>
  <c r="H18" i="6"/>
  <c r="Z18" i="6"/>
  <c r="AC18" i="6"/>
  <c r="AF18" i="6"/>
  <c r="AI18" i="6"/>
  <c r="AL18" i="6"/>
  <c r="AO18" i="6"/>
  <c r="AR18" i="6"/>
  <c r="AU18" i="6"/>
  <c r="AX18" i="6"/>
  <c r="BA18" i="6"/>
  <c r="BD18" i="6"/>
  <c r="BG18" i="6"/>
  <c r="BJ18" i="6"/>
  <c r="BM18" i="6"/>
  <c r="BP18" i="6"/>
  <c r="BS18" i="6"/>
  <c r="BV18" i="6"/>
  <c r="BY18" i="6"/>
  <c r="CE18" i="6"/>
  <c r="CH18" i="6"/>
  <c r="CK18" i="6"/>
  <c r="CN18" i="6"/>
  <c r="CQ18" i="6"/>
  <c r="CT18" i="6"/>
  <c r="CW18" i="6"/>
  <c r="CZ18" i="6"/>
  <c r="DC18" i="6"/>
  <c r="DF18" i="6"/>
  <c r="DI18" i="6"/>
  <c r="DO18" i="6"/>
  <c r="C19" i="6"/>
  <c r="D19" i="6"/>
  <c r="F19" i="6"/>
  <c r="G19" i="6"/>
  <c r="I19" i="6"/>
  <c r="I23" i="6" s="1"/>
  <c r="J19" i="6"/>
  <c r="L19" i="6"/>
  <c r="L23" i="6" s="1"/>
  <c r="M19" i="6"/>
  <c r="O19" i="6"/>
  <c r="O23" i="6" s="1"/>
  <c r="P19" i="6"/>
  <c r="R19" i="6"/>
  <c r="S19" i="6"/>
  <c r="U19" i="6"/>
  <c r="V19" i="6"/>
  <c r="X19" i="6"/>
  <c r="Y19" i="6"/>
  <c r="Y23" i="6" s="1"/>
  <c r="AA19" i="6"/>
  <c r="AA23" i="6" s="1"/>
  <c r="AB19" i="6"/>
  <c r="AD19" i="6"/>
  <c r="AE19" i="6"/>
  <c r="AE23" i="6" s="1"/>
  <c r="AG19" i="6"/>
  <c r="AG23" i="6" s="1"/>
  <c r="AH19" i="6"/>
  <c r="AJ19" i="6"/>
  <c r="AK19" i="6"/>
  <c r="AK23" i="6" s="1"/>
  <c r="AK43" i="6" s="1"/>
  <c r="AK47" i="6" s="1"/>
  <c r="AM19" i="6"/>
  <c r="AN19" i="6"/>
  <c r="AP19" i="6"/>
  <c r="AP23" i="6"/>
  <c r="AQ19" i="6"/>
  <c r="AS19" i="6"/>
  <c r="AS23" i="6" s="1"/>
  <c r="AT19" i="6"/>
  <c r="AT23" i="6"/>
  <c r="AV19" i="6"/>
  <c r="AW19" i="6"/>
  <c r="AY19" i="6"/>
  <c r="AZ19" i="6"/>
  <c r="BB19" i="6"/>
  <c r="BC19" i="6"/>
  <c r="BE19" i="6"/>
  <c r="BF19" i="6"/>
  <c r="BF23" i="6" s="1"/>
  <c r="BF43" i="6" s="1"/>
  <c r="BF47" i="6" s="1"/>
  <c r="BH19" i="6"/>
  <c r="BI19" i="6"/>
  <c r="BI23" i="6" s="1"/>
  <c r="BK19" i="6"/>
  <c r="BL19" i="6"/>
  <c r="BN19" i="6"/>
  <c r="BN23" i="6" s="1"/>
  <c r="BO19" i="6"/>
  <c r="BQ19" i="6"/>
  <c r="BR19" i="6"/>
  <c r="BR23" i="6" s="1"/>
  <c r="BT19" i="6"/>
  <c r="BU19" i="6"/>
  <c r="BW19" i="6"/>
  <c r="BX19" i="6"/>
  <c r="BZ19" i="6"/>
  <c r="CA19" i="6"/>
  <c r="CA23" i="6" s="1"/>
  <c r="CB19" i="6"/>
  <c r="CC19" i="6"/>
  <c r="CD19" i="6"/>
  <c r="CF19" i="6"/>
  <c r="CG19" i="6"/>
  <c r="CG23" i="6" s="1"/>
  <c r="CI19" i="6"/>
  <c r="CJ19" i="6"/>
  <c r="CL19" i="6"/>
  <c r="CM19" i="6"/>
  <c r="CO19" i="6"/>
  <c r="CP19" i="6"/>
  <c r="CR19" i="6"/>
  <c r="CS19" i="6"/>
  <c r="CU19" i="6"/>
  <c r="CV19" i="6"/>
  <c r="CX19" i="6"/>
  <c r="CY19" i="6"/>
  <c r="DA19" i="6"/>
  <c r="DB19" i="6"/>
  <c r="DD19" i="6"/>
  <c r="DE19" i="6"/>
  <c r="DG19" i="6"/>
  <c r="DH19" i="6"/>
  <c r="DJ19" i="6"/>
  <c r="DK19" i="6"/>
  <c r="DL19" i="6"/>
  <c r="DM19" i="6"/>
  <c r="DN19" i="6"/>
  <c r="DN23" i="6" s="1"/>
  <c r="DP19" i="6"/>
  <c r="DP23" i="6" s="1"/>
  <c r="DQ19" i="6"/>
  <c r="B20" i="6"/>
  <c r="E20" i="6"/>
  <c r="H20" i="6"/>
  <c r="K20" i="6"/>
  <c r="K19" i="6" s="1"/>
  <c r="N20" i="6"/>
  <c r="N19" i="6" s="1"/>
  <c r="Q20" i="6"/>
  <c r="Q19" i="6" s="1"/>
  <c r="T20" i="6"/>
  <c r="T19" i="6" s="1"/>
  <c r="Z20" i="6"/>
  <c r="AC20" i="6"/>
  <c r="AF20" i="6"/>
  <c r="AI20" i="6"/>
  <c r="AL20" i="6"/>
  <c r="AO20" i="6"/>
  <c r="AR20" i="6"/>
  <c r="AU20" i="6"/>
  <c r="AX20" i="6"/>
  <c r="BA20" i="6"/>
  <c r="BD20" i="6"/>
  <c r="BG20" i="6"/>
  <c r="BJ20" i="6"/>
  <c r="BM20" i="6"/>
  <c r="BP20" i="6"/>
  <c r="BS20" i="6"/>
  <c r="BV20" i="6"/>
  <c r="BY20" i="6"/>
  <c r="CE20" i="6"/>
  <c r="CH20" i="6"/>
  <c r="CK20" i="6"/>
  <c r="CN20" i="6"/>
  <c r="CQ20" i="6"/>
  <c r="CT20" i="6"/>
  <c r="CW20" i="6"/>
  <c r="CZ20" i="6"/>
  <c r="DC20" i="6"/>
  <c r="DF20" i="6"/>
  <c r="DI20" i="6"/>
  <c r="DO20" i="6"/>
  <c r="B21" i="6"/>
  <c r="E21" i="6"/>
  <c r="H21" i="6"/>
  <c r="W21" i="6"/>
  <c r="Z21" i="6"/>
  <c r="AC21" i="6"/>
  <c r="AF21" i="6"/>
  <c r="AI21" i="6"/>
  <c r="AL21" i="6"/>
  <c r="AO21" i="6"/>
  <c r="AR21" i="6"/>
  <c r="AU21" i="6"/>
  <c r="AX21" i="6"/>
  <c r="BA21" i="6"/>
  <c r="BA19" i="6" s="1"/>
  <c r="BD21" i="6"/>
  <c r="BG21" i="6"/>
  <c r="BJ21" i="6"/>
  <c r="BM21" i="6"/>
  <c r="BP21" i="6"/>
  <c r="BS21" i="6"/>
  <c r="BV21" i="6"/>
  <c r="BY21" i="6"/>
  <c r="CE21" i="6"/>
  <c r="CH21" i="6"/>
  <c r="CK21" i="6"/>
  <c r="CN21" i="6"/>
  <c r="CQ21" i="6"/>
  <c r="CW21" i="6"/>
  <c r="CZ21" i="6"/>
  <c r="DC21" i="6"/>
  <c r="DF21" i="6"/>
  <c r="DI21" i="6"/>
  <c r="DO21" i="6"/>
  <c r="B22" i="6"/>
  <c r="B19" i="6" s="1"/>
  <c r="E22" i="6"/>
  <c r="H22" i="6"/>
  <c r="W22" i="6"/>
  <c r="Z22" i="6"/>
  <c r="AC22" i="6"/>
  <c r="AF22" i="6"/>
  <c r="AI22" i="6"/>
  <c r="AL22" i="6"/>
  <c r="AO22" i="6"/>
  <c r="AR22" i="6"/>
  <c r="AU22" i="6"/>
  <c r="AX22" i="6"/>
  <c r="BA22" i="6"/>
  <c r="BD22" i="6"/>
  <c r="BG22" i="6"/>
  <c r="BJ22" i="6"/>
  <c r="BM22" i="6"/>
  <c r="BP22" i="6"/>
  <c r="BS22" i="6"/>
  <c r="BV22" i="6"/>
  <c r="BY22" i="6"/>
  <c r="CE22" i="6"/>
  <c r="CE19" i="6" s="1"/>
  <c r="CH22" i="6"/>
  <c r="CK22" i="6"/>
  <c r="CN22" i="6"/>
  <c r="CQ22" i="6"/>
  <c r="CQ19" i="6" s="1"/>
  <c r="CT22" i="6"/>
  <c r="CW22" i="6"/>
  <c r="CZ22" i="6"/>
  <c r="DC22" i="6"/>
  <c r="DF22" i="6"/>
  <c r="DI22" i="6"/>
  <c r="DO22" i="6"/>
  <c r="C26" i="6"/>
  <c r="C41" i="6" s="1"/>
  <c r="D26" i="6"/>
  <c r="D41" i="6" s="1"/>
  <c r="F26" i="6"/>
  <c r="F41" i="6" s="1"/>
  <c r="G26" i="6"/>
  <c r="G41" i="6" s="1"/>
  <c r="I26" i="6"/>
  <c r="J26" i="6"/>
  <c r="J41" i="6" s="1"/>
  <c r="L26" i="6"/>
  <c r="L41" i="6" s="1"/>
  <c r="M26" i="6"/>
  <c r="O26" i="6"/>
  <c r="O41" i="6" s="1"/>
  <c r="P26" i="6"/>
  <c r="P41" i="6" s="1"/>
  <c r="R26" i="6"/>
  <c r="R41" i="6"/>
  <c r="S26" i="6"/>
  <c r="S41" i="6" s="1"/>
  <c r="U26" i="6"/>
  <c r="U41" i="6" s="1"/>
  <c r="V26" i="6"/>
  <c r="V41" i="6"/>
  <c r="X26" i="6"/>
  <c r="X41" i="6" s="1"/>
  <c r="Y26" i="6"/>
  <c r="Y41" i="6" s="1"/>
  <c r="AA26" i="6"/>
  <c r="AA41" i="6" s="1"/>
  <c r="AB26" i="6"/>
  <c r="AB41" i="6" s="1"/>
  <c r="AD26" i="6"/>
  <c r="AD41" i="6"/>
  <c r="AE26" i="6"/>
  <c r="AE41" i="6" s="1"/>
  <c r="AG26" i="6"/>
  <c r="AG41" i="6" s="1"/>
  <c r="AH26" i="6"/>
  <c r="AH41" i="6"/>
  <c r="AJ26" i="6"/>
  <c r="AK26" i="6"/>
  <c r="AK41" i="6" s="1"/>
  <c r="AM26" i="6"/>
  <c r="AM41" i="6" s="1"/>
  <c r="AN26" i="6"/>
  <c r="AN41" i="6" s="1"/>
  <c r="AP26" i="6"/>
  <c r="AP41" i="6" s="1"/>
  <c r="AQ26" i="6"/>
  <c r="AS26" i="6"/>
  <c r="AS41" i="6" s="1"/>
  <c r="AT26" i="6"/>
  <c r="AT41" i="6" s="1"/>
  <c r="AV26" i="6"/>
  <c r="AV41" i="6" s="1"/>
  <c r="AW26" i="6"/>
  <c r="AW41" i="6" s="1"/>
  <c r="AY26" i="6"/>
  <c r="AY41" i="6" s="1"/>
  <c r="AZ26" i="6"/>
  <c r="AZ41" i="6" s="1"/>
  <c r="BB26" i="6"/>
  <c r="BB41" i="6" s="1"/>
  <c r="BC26" i="6"/>
  <c r="BC41" i="6" s="1"/>
  <c r="BE26" i="6"/>
  <c r="BF26" i="6"/>
  <c r="BF41" i="6" s="1"/>
  <c r="BH26" i="6"/>
  <c r="BH41" i="6" s="1"/>
  <c r="BI26" i="6"/>
  <c r="BK26" i="6"/>
  <c r="BK41" i="6" s="1"/>
  <c r="BL26" i="6"/>
  <c r="BL41" i="6" s="1"/>
  <c r="BN26" i="6"/>
  <c r="BN41" i="6" s="1"/>
  <c r="BO26" i="6"/>
  <c r="BO41" i="6" s="1"/>
  <c r="BQ26" i="6"/>
  <c r="BQ41" i="6" s="1"/>
  <c r="BR26" i="6"/>
  <c r="BR41" i="6" s="1"/>
  <c r="BR43" i="6" s="1"/>
  <c r="BR47" i="6" s="1"/>
  <c r="BT26" i="6"/>
  <c r="BU26" i="6"/>
  <c r="BW26" i="6"/>
  <c r="BW41" i="6" s="1"/>
  <c r="BX26" i="6"/>
  <c r="BX41" i="6" s="1"/>
  <c r="BZ26" i="6"/>
  <c r="BZ41" i="6" s="1"/>
  <c r="CA26" i="6"/>
  <c r="CA41" i="6" s="1"/>
  <c r="CB26" i="6"/>
  <c r="CC26" i="6"/>
  <c r="CC41" i="6" s="1"/>
  <c r="CD26" i="6"/>
  <c r="CD41" i="6" s="1"/>
  <c r="CF26" i="6"/>
  <c r="CG26" i="6"/>
  <c r="CG41" i="6" s="1"/>
  <c r="CI26" i="6"/>
  <c r="CI41" i="6" s="1"/>
  <c r="CJ26" i="6"/>
  <c r="CL26" i="6"/>
  <c r="CL41" i="6" s="1"/>
  <c r="CM26" i="6"/>
  <c r="CM41" i="6" s="1"/>
  <c r="CO26" i="6"/>
  <c r="CO41" i="6"/>
  <c r="CP26" i="6"/>
  <c r="CP41" i="6"/>
  <c r="CR26" i="6"/>
  <c r="CS26" i="6"/>
  <c r="CU26" i="6"/>
  <c r="CU41" i="6"/>
  <c r="CV26" i="6"/>
  <c r="CX26" i="6"/>
  <c r="CX41" i="6" s="1"/>
  <c r="CY26" i="6"/>
  <c r="CY41" i="6" s="1"/>
  <c r="DA26" i="6"/>
  <c r="DA41" i="6" s="1"/>
  <c r="DB26" i="6"/>
  <c r="DB41" i="6" s="1"/>
  <c r="DD26" i="6"/>
  <c r="DD41" i="6" s="1"/>
  <c r="DE26" i="6"/>
  <c r="DE41" i="6"/>
  <c r="DG26" i="6"/>
  <c r="DG41" i="6"/>
  <c r="DH26" i="6"/>
  <c r="DH41" i="6" s="1"/>
  <c r="DJ26" i="6"/>
  <c r="DJ41" i="6" s="1"/>
  <c r="DK26" i="6"/>
  <c r="DK41" i="6" s="1"/>
  <c r="DL26" i="6"/>
  <c r="DL41" i="6" s="1"/>
  <c r="DM26" i="6"/>
  <c r="DM41" i="6" s="1"/>
  <c r="DN26" i="6"/>
  <c r="DN41" i="6" s="1"/>
  <c r="DP26" i="6"/>
  <c r="DQ26" i="6"/>
  <c r="DQ41" i="6" s="1"/>
  <c r="B27" i="6"/>
  <c r="E27" i="6"/>
  <c r="H27" i="6"/>
  <c r="K27" i="6"/>
  <c r="N27" i="6"/>
  <c r="Q27" i="6"/>
  <c r="T27" i="6"/>
  <c r="W27" i="6"/>
  <c r="Z27" i="6"/>
  <c r="AC27" i="6"/>
  <c r="AF27" i="6"/>
  <c r="AI27" i="6"/>
  <c r="AL27" i="6"/>
  <c r="AO27" i="6"/>
  <c r="AR27" i="6"/>
  <c r="AU27" i="6"/>
  <c r="AX27" i="6"/>
  <c r="BA27" i="6"/>
  <c r="BD27" i="6"/>
  <c r="BG27" i="6"/>
  <c r="BJ27" i="6"/>
  <c r="BM27" i="6"/>
  <c r="BP27" i="6"/>
  <c r="BS27" i="6"/>
  <c r="BV27" i="6"/>
  <c r="BY27" i="6"/>
  <c r="CE27" i="6"/>
  <c r="CH27" i="6"/>
  <c r="CK27" i="6"/>
  <c r="CN27" i="6"/>
  <c r="CQ27" i="6"/>
  <c r="CT27" i="6"/>
  <c r="CW27" i="6"/>
  <c r="CZ27" i="6"/>
  <c r="DC27" i="6"/>
  <c r="DF27" i="6"/>
  <c r="DI27" i="6"/>
  <c r="DO27" i="6"/>
  <c r="B28" i="6"/>
  <c r="E28" i="6"/>
  <c r="H28" i="6"/>
  <c r="K28" i="6"/>
  <c r="N28" i="6"/>
  <c r="Q28" i="6"/>
  <c r="T28" i="6"/>
  <c r="W28" i="6"/>
  <c r="Z28" i="6"/>
  <c r="AC28" i="6"/>
  <c r="AF28" i="6"/>
  <c r="AI28" i="6"/>
  <c r="AL28" i="6"/>
  <c r="AO28" i="6"/>
  <c r="AR28" i="6"/>
  <c r="AU28" i="6"/>
  <c r="AX28" i="6"/>
  <c r="BA28" i="6"/>
  <c r="BD28" i="6"/>
  <c r="BG28" i="6"/>
  <c r="BJ28" i="6"/>
  <c r="BM28" i="6"/>
  <c r="BP28" i="6"/>
  <c r="BS28" i="6"/>
  <c r="BV28" i="6"/>
  <c r="BY28" i="6"/>
  <c r="CE28" i="6"/>
  <c r="CH28" i="6"/>
  <c r="CK28" i="6"/>
  <c r="CN28" i="6"/>
  <c r="CQ28" i="6"/>
  <c r="CT28" i="6"/>
  <c r="CW28" i="6"/>
  <c r="CZ28" i="6"/>
  <c r="DC28" i="6"/>
  <c r="DF28" i="6"/>
  <c r="DI28" i="6"/>
  <c r="DO28" i="6"/>
  <c r="B29" i="6"/>
  <c r="E29" i="6"/>
  <c r="H29" i="6"/>
  <c r="W29" i="6"/>
  <c r="Z29" i="6"/>
  <c r="AC29" i="6"/>
  <c r="AC26" i="6" s="1"/>
  <c r="AF29" i="6"/>
  <c r="AI29" i="6"/>
  <c r="AL29" i="6"/>
  <c r="AO29" i="6"/>
  <c r="AR29" i="6"/>
  <c r="AU29" i="6"/>
  <c r="AX29" i="6"/>
  <c r="BA29" i="6"/>
  <c r="BD29" i="6"/>
  <c r="BG29" i="6"/>
  <c r="BJ29" i="6"/>
  <c r="BM29" i="6"/>
  <c r="BP29" i="6"/>
  <c r="BS29" i="6"/>
  <c r="BV29" i="6"/>
  <c r="BY29" i="6"/>
  <c r="CE29" i="6"/>
  <c r="CH29" i="6"/>
  <c r="CK29" i="6"/>
  <c r="CN29" i="6"/>
  <c r="CQ29" i="6"/>
  <c r="CT29" i="6"/>
  <c r="CW29" i="6"/>
  <c r="CZ29" i="6"/>
  <c r="DC29" i="6"/>
  <c r="DF29" i="6"/>
  <c r="DI29" i="6"/>
  <c r="DO29" i="6"/>
  <c r="B30" i="6"/>
  <c r="E30" i="6"/>
  <c r="H30" i="6"/>
  <c r="K30" i="6"/>
  <c r="Q30" i="6"/>
  <c r="T30" i="6"/>
  <c r="W30" i="6"/>
  <c r="Z30" i="6"/>
  <c r="AC30" i="6"/>
  <c r="AF30" i="6"/>
  <c r="AI30" i="6"/>
  <c r="AL30" i="6"/>
  <c r="AO30" i="6"/>
  <c r="AR30" i="6"/>
  <c r="AU30" i="6"/>
  <c r="AX30" i="6"/>
  <c r="BA30" i="6"/>
  <c r="BD30" i="6"/>
  <c r="BG30" i="6"/>
  <c r="BJ30" i="6"/>
  <c r="BM30" i="6"/>
  <c r="BP30" i="6"/>
  <c r="BS30" i="6"/>
  <c r="BV30" i="6"/>
  <c r="BY30" i="6"/>
  <c r="CE30" i="6"/>
  <c r="CH30" i="6"/>
  <c r="CK30" i="6"/>
  <c r="CN30" i="6"/>
  <c r="CQ30" i="6"/>
  <c r="CT30" i="6"/>
  <c r="CW30" i="6"/>
  <c r="CZ30" i="6"/>
  <c r="DC30" i="6"/>
  <c r="DF30" i="6"/>
  <c r="DI30" i="6"/>
  <c r="DO30" i="6"/>
  <c r="B31" i="6"/>
  <c r="E31" i="6"/>
  <c r="H31" i="6"/>
  <c r="N31" i="6"/>
  <c r="Q31" i="6"/>
  <c r="W31" i="6"/>
  <c r="Z31" i="6"/>
  <c r="AC31" i="6"/>
  <c r="AF31" i="6"/>
  <c r="AI31" i="6"/>
  <c r="AL31" i="6"/>
  <c r="AO31" i="6"/>
  <c r="AR31" i="6"/>
  <c r="AU31" i="6"/>
  <c r="AX31" i="6"/>
  <c r="BA31" i="6"/>
  <c r="BD31" i="6"/>
  <c r="BG31" i="6"/>
  <c r="BJ31" i="6"/>
  <c r="BM31" i="6"/>
  <c r="BP31" i="6"/>
  <c r="BS31" i="6"/>
  <c r="BV31" i="6"/>
  <c r="BY31" i="6"/>
  <c r="CE31" i="6"/>
  <c r="CH31" i="6"/>
  <c r="CK31" i="6"/>
  <c r="CN31" i="6"/>
  <c r="CQ31" i="6"/>
  <c r="CT31" i="6"/>
  <c r="CW31" i="6"/>
  <c r="CZ31" i="6"/>
  <c r="DC31" i="6"/>
  <c r="DF31" i="6"/>
  <c r="DI31" i="6"/>
  <c r="DO31" i="6"/>
  <c r="B32" i="6"/>
  <c r="E32" i="6"/>
  <c r="H32" i="6"/>
  <c r="N32" i="6"/>
  <c r="Q32" i="6"/>
  <c r="T32" i="6"/>
  <c r="W32" i="6"/>
  <c r="Z32" i="6"/>
  <c r="AC32" i="6"/>
  <c r="AF32" i="6"/>
  <c r="AI32" i="6"/>
  <c r="AL32" i="6"/>
  <c r="AO32" i="6"/>
  <c r="AR32" i="6"/>
  <c r="AU32" i="6"/>
  <c r="AX32" i="6"/>
  <c r="BA32" i="6"/>
  <c r="BD32" i="6"/>
  <c r="BG32" i="6"/>
  <c r="BJ32" i="6"/>
  <c r="BM32" i="6"/>
  <c r="BP32" i="6"/>
  <c r="BS32" i="6"/>
  <c r="BV32" i="6"/>
  <c r="BY32" i="6"/>
  <c r="CE32" i="6"/>
  <c r="CH32" i="6"/>
  <c r="CK32" i="6"/>
  <c r="CN32" i="6"/>
  <c r="CQ32" i="6"/>
  <c r="CT32" i="6"/>
  <c r="CW32" i="6"/>
  <c r="CZ32" i="6"/>
  <c r="DC32" i="6"/>
  <c r="DF32" i="6"/>
  <c r="DI32" i="6"/>
  <c r="DO32" i="6"/>
  <c r="B33" i="6"/>
  <c r="E33" i="6"/>
  <c r="H33" i="6"/>
  <c r="K33" i="6"/>
  <c r="Q33" i="6"/>
  <c r="T33" i="6"/>
  <c r="W33" i="6"/>
  <c r="Z33" i="6"/>
  <c r="AC33" i="6"/>
  <c r="AF33" i="6"/>
  <c r="AI33" i="6"/>
  <c r="AL33" i="6"/>
  <c r="AO33" i="6"/>
  <c r="AR33" i="6"/>
  <c r="AU33" i="6"/>
  <c r="AX33" i="6"/>
  <c r="BA33" i="6"/>
  <c r="BA26" i="6"/>
  <c r="BD33" i="6"/>
  <c r="BG33" i="6"/>
  <c r="BJ33" i="6"/>
  <c r="BM33" i="6"/>
  <c r="BP33" i="6"/>
  <c r="BS33" i="6"/>
  <c r="BV33" i="6"/>
  <c r="BY33" i="6"/>
  <c r="CE33" i="6"/>
  <c r="CH33" i="6"/>
  <c r="CK33" i="6"/>
  <c r="CN33" i="6"/>
  <c r="CQ33" i="6"/>
  <c r="CT33" i="6"/>
  <c r="CW33" i="6"/>
  <c r="CZ33" i="6"/>
  <c r="DC33" i="6"/>
  <c r="DF33" i="6"/>
  <c r="DI33" i="6"/>
  <c r="DO33" i="6"/>
  <c r="B35" i="6"/>
  <c r="E35" i="6"/>
  <c r="H35" i="6"/>
  <c r="N35" i="6"/>
  <c r="N26" i="6" s="1"/>
  <c r="N41" i="6" s="1"/>
  <c r="Q35" i="6"/>
  <c r="T35" i="6"/>
  <c r="W35" i="6"/>
  <c r="Z35" i="6"/>
  <c r="AC35" i="6"/>
  <c r="AF35" i="6"/>
  <c r="AI35" i="6"/>
  <c r="AL35" i="6"/>
  <c r="AO35" i="6"/>
  <c r="AR35" i="6"/>
  <c r="AU35" i="6"/>
  <c r="AX35" i="6"/>
  <c r="BA35" i="6"/>
  <c r="BD35" i="6"/>
  <c r="BG35" i="6"/>
  <c r="BJ35" i="6"/>
  <c r="BM35" i="6"/>
  <c r="BP35" i="6"/>
  <c r="BS35" i="6"/>
  <c r="BV35" i="6"/>
  <c r="BY35" i="6"/>
  <c r="CE35" i="6"/>
  <c r="CH35" i="6"/>
  <c r="CK35" i="6"/>
  <c r="CN35" i="6"/>
  <c r="CQ35" i="6"/>
  <c r="CT35" i="6"/>
  <c r="CW35" i="6"/>
  <c r="CZ35" i="6"/>
  <c r="DC35" i="6"/>
  <c r="DF35" i="6"/>
  <c r="DI35" i="6"/>
  <c r="DO35" i="6"/>
  <c r="B36" i="6"/>
  <c r="E36" i="6"/>
  <c r="H36" i="6"/>
  <c r="K36" i="6"/>
  <c r="N36" i="6"/>
  <c r="Q36" i="6"/>
  <c r="T36" i="6"/>
  <c r="W36" i="6"/>
  <c r="Z36" i="6"/>
  <c r="AC36" i="6"/>
  <c r="AF36" i="6"/>
  <c r="AI36" i="6"/>
  <c r="AL36" i="6"/>
  <c r="AO36" i="6"/>
  <c r="AR36" i="6"/>
  <c r="AX36" i="6"/>
  <c r="BA36" i="6"/>
  <c r="BD36" i="6"/>
  <c r="BG36" i="6"/>
  <c r="BJ36" i="6"/>
  <c r="BM36" i="6"/>
  <c r="BP36" i="6"/>
  <c r="BS36" i="6"/>
  <c r="BV36" i="6"/>
  <c r="BY36" i="6"/>
  <c r="CE36" i="6"/>
  <c r="CH36" i="6"/>
  <c r="CK36" i="6"/>
  <c r="CN36" i="6"/>
  <c r="CQ36" i="6"/>
  <c r="CT36" i="6"/>
  <c r="CW36" i="6"/>
  <c r="CZ36" i="6"/>
  <c r="DC36" i="6"/>
  <c r="DF36" i="6"/>
  <c r="DI36" i="6"/>
  <c r="DO36" i="6"/>
  <c r="B37" i="6"/>
  <c r="E37" i="6"/>
  <c r="H37" i="6"/>
  <c r="K37" i="6"/>
  <c r="N37" i="6"/>
  <c r="Q37" i="6"/>
  <c r="T37" i="6"/>
  <c r="W37" i="6"/>
  <c r="Z37" i="6"/>
  <c r="AC37" i="6"/>
  <c r="AF37" i="6"/>
  <c r="AI37" i="6"/>
  <c r="AL37" i="6"/>
  <c r="AO37" i="6"/>
  <c r="AR37" i="6"/>
  <c r="AU37" i="6"/>
  <c r="AX37" i="6"/>
  <c r="BA37" i="6"/>
  <c r="BD37" i="6"/>
  <c r="BG37" i="6"/>
  <c r="BJ37" i="6"/>
  <c r="BM37" i="6"/>
  <c r="BP37" i="6"/>
  <c r="BS37" i="6"/>
  <c r="BV37" i="6"/>
  <c r="BY37" i="6"/>
  <c r="CE37" i="6"/>
  <c r="CH37" i="6"/>
  <c r="CK37" i="6"/>
  <c r="CN37" i="6"/>
  <c r="CQ37" i="6"/>
  <c r="CT37" i="6"/>
  <c r="CW37" i="6"/>
  <c r="CZ37" i="6"/>
  <c r="DC37" i="6"/>
  <c r="DF37" i="6"/>
  <c r="DI37" i="6"/>
  <c r="DO37" i="6"/>
  <c r="B38" i="6"/>
  <c r="E38" i="6"/>
  <c r="H38" i="6"/>
  <c r="K38" i="6"/>
  <c r="N38" i="6"/>
  <c r="Q38" i="6"/>
  <c r="T38" i="6"/>
  <c r="W38" i="6"/>
  <c r="Z38" i="6"/>
  <c r="AC38" i="6"/>
  <c r="AF38" i="6"/>
  <c r="AI38" i="6"/>
  <c r="AL38" i="6"/>
  <c r="AO38" i="6"/>
  <c r="AR38" i="6"/>
  <c r="AU38" i="6"/>
  <c r="AX38" i="6"/>
  <c r="BA38" i="6"/>
  <c r="BD38" i="6"/>
  <c r="BG38" i="6"/>
  <c r="BJ38" i="6"/>
  <c r="BM38" i="6"/>
  <c r="BP38" i="6"/>
  <c r="BS38" i="6"/>
  <c r="BV38" i="6"/>
  <c r="BY38" i="6"/>
  <c r="CE38" i="6"/>
  <c r="CH38" i="6"/>
  <c r="CK38" i="6"/>
  <c r="CN38" i="6"/>
  <c r="CQ38" i="6"/>
  <c r="CT38" i="6"/>
  <c r="CW38" i="6"/>
  <c r="CZ38" i="6"/>
  <c r="DC38" i="6"/>
  <c r="DF38" i="6"/>
  <c r="DI38" i="6"/>
  <c r="DO38" i="6"/>
  <c r="B39" i="6"/>
  <c r="E39" i="6"/>
  <c r="H39" i="6"/>
  <c r="K39" i="6"/>
  <c r="N39" i="6"/>
  <c r="Q39" i="6"/>
  <c r="T39" i="6"/>
  <c r="W39" i="6"/>
  <c r="Z39" i="6"/>
  <c r="AC39" i="6"/>
  <c r="AF39" i="6"/>
  <c r="AI39" i="6"/>
  <c r="AL39" i="6"/>
  <c r="AO39" i="6"/>
  <c r="AR39" i="6"/>
  <c r="AU39" i="6"/>
  <c r="AX39" i="6"/>
  <c r="BA39" i="6"/>
  <c r="BD39" i="6"/>
  <c r="BG39" i="6"/>
  <c r="BJ39" i="6"/>
  <c r="BM39" i="6"/>
  <c r="BP39" i="6"/>
  <c r="BS39" i="6"/>
  <c r="BV39" i="6"/>
  <c r="BY39" i="6"/>
  <c r="CE39" i="6"/>
  <c r="CH39" i="6"/>
  <c r="CK39" i="6"/>
  <c r="CN39" i="6"/>
  <c r="CQ39" i="6"/>
  <c r="CT39" i="6"/>
  <c r="CW39" i="6"/>
  <c r="CZ39" i="6"/>
  <c r="DC39" i="6"/>
  <c r="DF39" i="6"/>
  <c r="DI39" i="6"/>
  <c r="DO39" i="6"/>
  <c r="I41" i="6"/>
  <c r="M41" i="6"/>
  <c r="AJ41" i="6"/>
  <c r="AQ41" i="6"/>
  <c r="BE41" i="6"/>
  <c r="BI41" i="6"/>
  <c r="BI43" i="6" s="1"/>
  <c r="BI47" i="6" s="1"/>
  <c r="BT41" i="6"/>
  <c r="BU41" i="6"/>
  <c r="CB41" i="6"/>
  <c r="CF41" i="6"/>
  <c r="CJ41" i="6"/>
  <c r="CR41" i="6"/>
  <c r="CS41" i="6"/>
  <c r="CV41" i="6"/>
  <c r="DP41" i="6"/>
  <c r="AE15" i="13"/>
  <c r="S15" i="13"/>
  <c r="C15" i="13"/>
  <c r="T15" i="13"/>
  <c r="AN15" i="13"/>
  <c r="AJ15" i="13"/>
  <c r="P15" i="13"/>
  <c r="H15" i="13"/>
  <c r="AM15" i="13"/>
  <c r="AI15" i="13"/>
  <c r="AA15" i="13"/>
  <c r="W15" i="13"/>
  <c r="K15" i="13"/>
  <c r="G15" i="13"/>
  <c r="X15" i="13"/>
  <c r="L15" i="13"/>
  <c r="AL15" i="13"/>
  <c r="AH15" i="13"/>
  <c r="AD15" i="13"/>
  <c r="V15" i="13"/>
  <c r="R15" i="13"/>
  <c r="N15" i="13"/>
  <c r="J15" i="13"/>
  <c r="F15" i="13"/>
  <c r="B15" i="13"/>
  <c r="AB15" i="13"/>
  <c r="Z15" i="13"/>
  <c r="B36" i="8"/>
  <c r="W36" i="8"/>
  <c r="D30" i="8"/>
  <c r="D36" i="8" s="1"/>
  <c r="AD30" i="8"/>
  <c r="F36" i="8"/>
  <c r="AL36" i="8"/>
  <c r="G30" i="8"/>
  <c r="C30" i="8"/>
  <c r="C36" i="8" s="1"/>
  <c r="AN36" i="8"/>
  <c r="N30" i="8"/>
  <c r="N36" i="8"/>
  <c r="AJ30" i="8"/>
  <c r="AJ36" i="8" s="1"/>
  <c r="H30" i="8"/>
  <c r="H36" i="8" s="1"/>
  <c r="G36" i="8"/>
  <c r="AD36" i="8"/>
  <c r="T30" i="8"/>
  <c r="T36" i="8" s="1"/>
  <c r="Y30" i="8"/>
  <c r="Y36" i="8"/>
  <c r="AF36" i="8"/>
  <c r="AC30" i="8"/>
  <c r="AC36" i="8" s="1"/>
  <c r="Q30" i="8"/>
  <c r="Q36" i="8"/>
  <c r="V36" i="8"/>
  <c r="L36" i="8"/>
  <c r="AE30" i="8"/>
  <c r="AE36" i="8" s="1"/>
  <c r="U36" i="8"/>
  <c r="AA36" i="8"/>
  <c r="AO30" i="8"/>
  <c r="AO36" i="8" s="1"/>
  <c r="AK30" i="8"/>
  <c r="AK36" i="8" s="1"/>
  <c r="AG30" i="8"/>
  <c r="AG36" i="8"/>
  <c r="M30" i="8"/>
  <c r="M36" i="8" s="1"/>
  <c r="I30" i="8"/>
  <c r="I36" i="8" s="1"/>
  <c r="Z30" i="8"/>
  <c r="Z36" i="8" s="1"/>
  <c r="N15" i="7"/>
  <c r="Y19" i="7"/>
  <c r="Y21" i="7" s="1"/>
  <c r="BK23" i="6"/>
  <c r="DH23" i="6"/>
  <c r="DH43" i="6" s="1"/>
  <c r="DH47" i="6" s="1"/>
  <c r="DO12" i="6"/>
  <c r="AW23" i="6"/>
  <c r="AH22" i="30"/>
  <c r="AL22" i="30"/>
  <c r="R22" i="30"/>
  <c r="Q20" i="25"/>
  <c r="AA20" i="25"/>
  <c r="V20" i="24"/>
  <c r="AH21" i="20"/>
  <c r="J20" i="17"/>
  <c r="J25" i="17" s="1"/>
  <c r="J31" i="17" s="1"/>
  <c r="J35" i="17" s="1"/>
  <c r="S20" i="17"/>
  <c r="S25" i="17" s="1"/>
  <c r="S31" i="17" s="1"/>
  <c r="S35" i="17" s="1"/>
  <c r="O20" i="17"/>
  <c r="O25" i="17" s="1"/>
  <c r="O31" i="17" s="1"/>
  <c r="O35" i="17" s="1"/>
  <c r="T20" i="17"/>
  <c r="T25" i="17" s="1"/>
  <c r="T31" i="17" s="1"/>
  <c r="T35" i="17" s="1"/>
  <c r="CE26" i="6"/>
  <c r="CN12" i="6"/>
  <c r="DC26" i="6"/>
  <c r="DC41" i="6" s="1"/>
  <c r="AA22" i="30" l="1"/>
  <c r="BG12" i="6"/>
  <c r="CE41" i="6"/>
  <c r="AT43" i="6"/>
  <c r="AT47" i="6" s="1"/>
  <c r="BY19" i="6"/>
  <c r="DL23" i="6"/>
  <c r="DA23" i="6"/>
  <c r="CU23" i="6"/>
  <c r="CO23" i="6"/>
  <c r="DM23" i="6"/>
  <c r="BZ23" i="6"/>
  <c r="BH23" i="6"/>
  <c r="BB23" i="6"/>
  <c r="AV23" i="6"/>
  <c r="D43" i="6"/>
  <c r="D47" i="6" s="1"/>
  <c r="DC19" i="6"/>
  <c r="DI19" i="6"/>
  <c r="W19" i="6"/>
  <c r="AC19" i="6"/>
  <c r="P23" i="6"/>
  <c r="P43" i="6" s="1"/>
  <c r="P47" i="6" s="1"/>
  <c r="AQ23" i="6"/>
  <c r="X20" i="25"/>
  <c r="J20" i="25"/>
  <c r="W10" i="25"/>
  <c r="W20" i="25" s="1"/>
  <c r="AH10" i="25"/>
  <c r="AH20" i="25" s="1"/>
  <c r="V10" i="25"/>
  <c r="P10" i="25"/>
  <c r="AI20" i="25"/>
  <c r="K20" i="25"/>
  <c r="G20" i="25"/>
  <c r="C20" i="25"/>
  <c r="Z10" i="25"/>
  <c r="Z20" i="25" s="1"/>
  <c r="AJ20" i="25"/>
  <c r="R20" i="25"/>
  <c r="AK20" i="25"/>
  <c r="U10" i="25"/>
  <c r="AF10" i="25"/>
  <c r="AF20" i="25" s="1"/>
  <c r="AK10" i="18"/>
  <c r="AK26" i="18" s="1"/>
  <c r="AL10" i="18"/>
  <c r="AL26" i="18" s="1"/>
  <c r="AJ26" i="18"/>
  <c r="Q26" i="18"/>
  <c r="AB10" i="18"/>
  <c r="AB26" i="18" s="1"/>
  <c r="AO10" i="18"/>
  <c r="AO26" i="18" s="1"/>
  <c r="AI10" i="18"/>
  <c r="AI26" i="18" s="1"/>
  <c r="AE10" i="18"/>
  <c r="AE26" i="18" s="1"/>
  <c r="Y26" i="18"/>
  <c r="T26" i="18"/>
  <c r="K26" i="18"/>
  <c r="V26" i="18"/>
  <c r="L26" i="18"/>
  <c r="D26" i="18"/>
  <c r="S26" i="18"/>
  <c r="AN10" i="18"/>
  <c r="AN26" i="18" s="1"/>
  <c r="X26" i="18"/>
  <c r="N26" i="18"/>
  <c r="L20" i="17"/>
  <c r="L25" i="17" s="1"/>
  <c r="L31" i="17" s="1"/>
  <c r="L35" i="17" s="1"/>
  <c r="V31" i="17"/>
  <c r="V35" i="17" s="1"/>
  <c r="N22" i="30"/>
  <c r="AN21" i="20"/>
  <c r="AO21" i="20"/>
  <c r="AD21" i="20"/>
  <c r="AM22" i="30"/>
  <c r="AI22" i="30"/>
  <c r="AB21" i="20"/>
  <c r="AO20" i="25"/>
  <c r="DQ23" i="6"/>
  <c r="DQ43" i="6" s="1"/>
  <c r="DQ47" i="6" s="1"/>
  <c r="BD26" i="6"/>
  <c r="BD41" i="6" s="1"/>
  <c r="DF19" i="6"/>
  <c r="CH19" i="6"/>
  <c r="BG19" i="6"/>
  <c r="BG23" i="6" s="1"/>
  <c r="AI19" i="6"/>
  <c r="CW19" i="6"/>
  <c r="DB23" i="6"/>
  <c r="DB43" i="6" s="1"/>
  <c r="DB47" i="6" s="1"/>
  <c r="CP23" i="6"/>
  <c r="CP43" i="6" s="1"/>
  <c r="CP47" i="6" s="1"/>
  <c r="DD23" i="6"/>
  <c r="CX23" i="6"/>
  <c r="CR23" i="6"/>
  <c r="CL23" i="6"/>
  <c r="CF23" i="6"/>
  <c r="DI26" i="6"/>
  <c r="DI41" i="6" s="1"/>
  <c r="B26" i="6"/>
  <c r="B41" i="6" s="1"/>
  <c r="CQ26" i="6"/>
  <c r="CQ41" i="6" s="1"/>
  <c r="BS19" i="6"/>
  <c r="BP19" i="6"/>
  <c r="BD19" i="6"/>
  <c r="AR19" i="6"/>
  <c r="AF19" i="6"/>
  <c r="AZ23" i="6"/>
  <c r="AZ43" i="6" s="1"/>
  <c r="AZ47" i="6" s="1"/>
  <c r="AJ23" i="6"/>
  <c r="AD23" i="6"/>
  <c r="X23" i="6"/>
  <c r="F23" i="6"/>
  <c r="DO19" i="6"/>
  <c r="DO23" i="6" s="1"/>
  <c r="CZ19" i="6"/>
  <c r="CN19" i="6"/>
  <c r="CN23" i="6" s="1"/>
  <c r="E19" i="6"/>
  <c r="DK23" i="6"/>
  <c r="DK43" i="6" s="1"/>
  <c r="DK47" i="6" s="1"/>
  <c r="DE23" i="6"/>
  <c r="CS23" i="6"/>
  <c r="CS43" i="6" s="1"/>
  <c r="CS47" i="6" s="1"/>
  <c r="CB23" i="6"/>
  <c r="BQ23" i="6"/>
  <c r="AN23" i="6"/>
  <c r="AH23" i="6"/>
  <c r="AH43" i="6" s="1"/>
  <c r="AH47" i="6" s="1"/>
  <c r="BA41" i="6"/>
  <c r="Z26" i="6"/>
  <c r="Z41" i="6" s="1"/>
  <c r="CN26" i="6"/>
  <c r="CN41" i="6" s="1"/>
  <c r="CT26" i="6"/>
  <c r="CT41" i="6" s="1"/>
  <c r="BS26" i="6"/>
  <c r="BS41" i="6" s="1"/>
  <c r="BG26" i="6"/>
  <c r="BG41" i="6" s="1"/>
  <c r="AE43" i="6"/>
  <c r="AE47" i="6" s="1"/>
  <c r="M23" i="6"/>
  <c r="M43" i="6" s="1"/>
  <c r="M47" i="6" s="1"/>
  <c r="CK26" i="6"/>
  <c r="CK41" i="6" s="1"/>
  <c r="AX26" i="6"/>
  <c r="AX41" i="6" s="1"/>
  <c r="DO41" i="6"/>
  <c r="AF26" i="6"/>
  <c r="AF41" i="6" s="1"/>
  <c r="T26" i="6"/>
  <c r="T41" i="6" s="1"/>
  <c r="H26" i="6"/>
  <c r="H41" i="6" s="1"/>
  <c r="AQ43" i="6"/>
  <c r="AQ47" i="6" s="1"/>
  <c r="BV19" i="6"/>
  <c r="K12" i="6"/>
  <c r="K23" i="6" s="1"/>
  <c r="BY12" i="6"/>
  <c r="BY23" i="6" s="1"/>
  <c r="B12" i="6"/>
  <c r="B23" i="6" s="1"/>
  <c r="BU23" i="6"/>
  <c r="BU43" i="6" s="1"/>
  <c r="BU47" i="6" s="1"/>
  <c r="BJ26" i="6"/>
  <c r="BJ41" i="6" s="1"/>
  <c r="AC41" i="6"/>
  <c r="DF26" i="6"/>
  <c r="DF41" i="6" s="1"/>
  <c r="CH26" i="6"/>
  <c r="CH41" i="6" s="1"/>
  <c r="AU26" i="6"/>
  <c r="AU41" i="6" s="1"/>
  <c r="E26" i="6"/>
  <c r="E41" i="6" s="1"/>
  <c r="CG43" i="6"/>
  <c r="CG47" i="6" s="1"/>
  <c r="BL23" i="6"/>
  <c r="BL43" i="6" s="1"/>
  <c r="BL47" i="6" s="1"/>
  <c r="R23" i="6"/>
  <c r="CZ12" i="6"/>
  <c r="BA12" i="6"/>
  <c r="AO12" i="6"/>
  <c r="DC12" i="6"/>
  <c r="DC23" i="6" s="1"/>
  <c r="BP12" i="6"/>
  <c r="AR12" i="6"/>
  <c r="AR23" i="6" s="1"/>
  <c r="DN43" i="6"/>
  <c r="DN47" i="6" s="1"/>
  <c r="DE43" i="6"/>
  <c r="DE47" i="6" s="1"/>
  <c r="V23" i="6"/>
  <c r="V43" i="6" s="1"/>
  <c r="V47" i="6" s="1"/>
  <c r="Y43" i="6"/>
  <c r="Y47" i="6" s="1"/>
  <c r="CW26" i="6"/>
  <c r="CW41" i="6" s="1"/>
  <c r="J43" i="6"/>
  <c r="J47" i="6" s="1"/>
  <c r="H19" i="6"/>
  <c r="G23" i="6"/>
  <c r="G43" i="6" s="1"/>
  <c r="G47" i="6" s="1"/>
  <c r="Q12" i="6"/>
  <c r="Q23" i="6" s="1"/>
  <c r="AY23" i="6"/>
  <c r="AN43" i="6"/>
  <c r="AN47" i="6" s="1"/>
  <c r="Q26" i="6"/>
  <c r="Q41" i="6" s="1"/>
  <c r="AL26" i="6"/>
  <c r="AL41" i="6" s="1"/>
  <c r="AI26" i="6"/>
  <c r="AI41" i="6" s="1"/>
  <c r="W26" i="6"/>
  <c r="W41" i="6" s="1"/>
  <c r="K26" i="6"/>
  <c r="K41" i="6" s="1"/>
  <c r="BM19" i="6"/>
  <c r="BW23" i="6"/>
  <c r="AB23" i="6"/>
  <c r="AB43" i="6" s="1"/>
  <c r="AB47" i="6" s="1"/>
  <c r="BM12" i="6"/>
  <c r="AC12" i="6"/>
  <c r="AC23" i="6" s="1"/>
  <c r="N12" i="6"/>
  <c r="N23" i="6" s="1"/>
  <c r="CQ12" i="6"/>
  <c r="CQ23" i="6" s="1"/>
  <c r="CE12" i="6"/>
  <c r="CE23" i="6" s="1"/>
  <c r="BD12" i="6"/>
  <c r="AF12" i="6"/>
  <c r="AF23" i="6" s="1"/>
  <c r="DG23" i="6"/>
  <c r="BX23" i="6"/>
  <c r="BX43" i="6" s="1"/>
  <c r="BX47" i="6" s="1"/>
  <c r="S23" i="6"/>
  <c r="S43" i="6" s="1"/>
  <c r="S47" i="6" s="1"/>
  <c r="BY26" i="6"/>
  <c r="BY41" i="6" s="1"/>
  <c r="BP26" i="6"/>
  <c r="BP41" i="6" s="1"/>
  <c r="AL19" i="6"/>
  <c r="CT19" i="6"/>
  <c r="DJ23" i="6"/>
  <c r="CY23" i="6"/>
  <c r="CY43" i="6" s="1"/>
  <c r="CY47" i="6" s="1"/>
  <c r="BE23" i="6"/>
  <c r="DF12" i="6"/>
  <c r="DF23" i="6" s="1"/>
  <c r="CT12" i="6"/>
  <c r="CH12" i="6"/>
  <c r="CH23" i="6" s="1"/>
  <c r="BS12" i="6"/>
  <c r="BS23" i="6" s="1"/>
  <c r="AU12" i="6"/>
  <c r="AI12" i="6"/>
  <c r="W12" i="6"/>
  <c r="W23" i="6" s="1"/>
  <c r="CV23" i="6"/>
  <c r="CV43" i="6" s="1"/>
  <c r="CV47" i="6" s="1"/>
  <c r="CJ23" i="6"/>
  <c r="CJ43" i="6" s="1"/>
  <c r="CJ47" i="6" s="1"/>
  <c r="CD23" i="6"/>
  <c r="CD43" i="6" s="1"/>
  <c r="CD47" i="6" s="1"/>
  <c r="BT23" i="6"/>
  <c r="BO23" i="6"/>
  <c r="BO43" i="6" s="1"/>
  <c r="BO47" i="6" s="1"/>
  <c r="BC23" i="6"/>
  <c r="BC43" i="6" s="1"/>
  <c r="BC47" i="6" s="1"/>
  <c r="AM23" i="6"/>
  <c r="D22" i="30"/>
  <c r="H12" i="6"/>
  <c r="DI12" i="6"/>
  <c r="DI23" i="6" s="1"/>
  <c r="CW12" i="6"/>
  <c r="CK12" i="6"/>
  <c r="BV12" i="6"/>
  <c r="BJ12" i="6"/>
  <c r="AX12" i="6"/>
  <c r="AL12" i="6"/>
  <c r="AL23" i="6" s="1"/>
  <c r="Z12" i="6"/>
  <c r="K22" i="30"/>
  <c r="BA23" i="6"/>
  <c r="BJ19" i="6"/>
  <c r="AX19" i="6"/>
  <c r="R36" i="8"/>
  <c r="AW43" i="6"/>
  <c r="AW47" i="6" s="1"/>
  <c r="BM26" i="6"/>
  <c r="BM41" i="6" s="1"/>
  <c r="DO26" i="6"/>
  <c r="CZ26" i="6"/>
  <c r="CZ41" i="6" s="1"/>
  <c r="CA43" i="6"/>
  <c r="CA47" i="6" s="1"/>
  <c r="AR26" i="6"/>
  <c r="AR41" i="6" s="1"/>
  <c r="CK19" i="6"/>
  <c r="AO19" i="6"/>
  <c r="Z15" i="7"/>
  <c r="Z19" i="7"/>
  <c r="Z21" i="7" s="1"/>
  <c r="L19" i="7"/>
  <c r="L21" i="7" s="1"/>
  <c r="L15" i="7"/>
  <c r="BV26" i="6"/>
  <c r="BV41" i="6" s="1"/>
  <c r="C23" i="6"/>
  <c r="U19" i="7"/>
  <c r="U21" i="7" s="1"/>
  <c r="U15" i="7"/>
  <c r="F15" i="7"/>
  <c r="F19" i="7"/>
  <c r="F21" i="7" s="1"/>
  <c r="V20" i="25"/>
  <c r="P20" i="25"/>
  <c r="T12" i="6"/>
  <c r="T23" i="6" s="1"/>
  <c r="CI23" i="6"/>
  <c r="U23" i="6"/>
  <c r="H19" i="7"/>
  <c r="H21" i="7" s="1"/>
  <c r="H15" i="7"/>
  <c r="E12" i="10"/>
  <c r="E20" i="10" s="1"/>
  <c r="AO26" i="6"/>
  <c r="AO41" i="6" s="1"/>
  <c r="AU19" i="6"/>
  <c r="Z19" i="6"/>
  <c r="E12" i="6"/>
  <c r="CM23" i="6"/>
  <c r="CM43" i="6" s="1"/>
  <c r="CM47" i="6" s="1"/>
  <c r="S15" i="7"/>
  <c r="S19" i="7"/>
  <c r="S21" i="7" s="1"/>
  <c r="AG10" i="18"/>
  <c r="AG26" i="18" s="1"/>
  <c r="AF26" i="18"/>
  <c r="P26" i="18"/>
  <c r="H26" i="18"/>
  <c r="Y20" i="25"/>
  <c r="U20" i="25"/>
  <c r="AC20" i="25"/>
  <c r="AN20" i="25"/>
  <c r="S10" i="25"/>
  <c r="S20" i="25" s="1"/>
  <c r="E23" i="6" l="1"/>
  <c r="AO23" i="6"/>
  <c r="CK23" i="6"/>
  <c r="CW23" i="6"/>
  <c r="BP23" i="6"/>
  <c r="BV23" i="6"/>
  <c r="H23" i="6"/>
  <c r="BD23" i="6"/>
  <c r="BM23" i="6"/>
  <c r="AI23" i="6"/>
  <c r="CZ23" i="6"/>
  <c r="AU23" i="6"/>
  <c r="BJ23" i="6"/>
  <c r="CT23" i="6"/>
  <c r="AX23" i="6"/>
  <c r="Z23" i="6"/>
  <c r="B37" i="5" l="1"/>
</calcChain>
</file>

<file path=xl/comments1.xml><?xml version="1.0" encoding="utf-8"?>
<comments xmlns="http://schemas.openxmlformats.org/spreadsheetml/2006/main">
  <authors>
    <author>Banco Bradesco S.A.</author>
  </authors>
  <commentList>
    <comment ref="B7" authorId="0" shapeId="0">
      <text>
        <r>
          <rPr>
            <b/>
            <sz val="9"/>
            <color indexed="81"/>
            <rFont val="Segoe UI"/>
            <family val="2"/>
          </rPr>
          <t>Banco Bradesco S.A.: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<sst xmlns="http://schemas.openxmlformats.org/spreadsheetml/2006/main" count="2751" uniqueCount="734">
  <si>
    <t>Financeiro</t>
  </si>
  <si>
    <t xml:space="preserve"> </t>
  </si>
  <si>
    <t>Total</t>
  </si>
  <si>
    <t/>
  </si>
  <si>
    <t xml:space="preserve">  </t>
  </si>
  <si>
    <t>Total (1)</t>
  </si>
  <si>
    <t>,</t>
  </si>
  <si>
    <t>Subtotal</t>
  </si>
  <si>
    <t>Capital:</t>
  </si>
  <si>
    <t>T O T A L</t>
  </si>
  <si>
    <t>TOTAL</t>
  </si>
  <si>
    <t xml:space="preserve"> - PGBL / VGBL</t>
  </si>
  <si>
    <t>%</t>
  </si>
  <si>
    <t xml:space="preserve">TOTAL </t>
  </si>
  <si>
    <t xml:space="preserve">Total </t>
  </si>
  <si>
    <t>AA</t>
  </si>
  <si>
    <t>A</t>
  </si>
  <si>
    <t>B</t>
  </si>
  <si>
    <t>C</t>
  </si>
  <si>
    <t>D</t>
  </si>
  <si>
    <t>E</t>
  </si>
  <si>
    <t>F</t>
  </si>
  <si>
    <t>G</t>
  </si>
  <si>
    <t>H</t>
  </si>
  <si>
    <t xml:space="preserve">TOTAL  </t>
  </si>
  <si>
    <t>Corporate</t>
  </si>
  <si>
    <t>Leasing</t>
  </si>
  <si>
    <t>investidores@bradesco.com.br</t>
  </si>
  <si>
    <t>Em caso de dúvidas, envie um e-mail para:</t>
  </si>
  <si>
    <t>(2)</t>
  </si>
  <si>
    <t>Apresentamos série histórica com as principais Informações Econômicas e Financeiras trimestrais, a partir de março/07.</t>
  </si>
  <si>
    <t>% (1)</t>
  </si>
  <si>
    <t>Para acessá-las, clique nas planilhas abaixo.</t>
  </si>
  <si>
    <t>7,8</t>
  </si>
  <si>
    <t>VAMOS TER QUE REVER AS INFORMAÇÕES E COMO DEMONSTRAR PARA CONCILIAR COM TODAS AS INFORMAÇÕES QUE PUBLICAMOS AO MERCADO SOBRE PDD</t>
  </si>
  <si>
    <t>Mar07</t>
  </si>
  <si>
    <t>Jun07</t>
  </si>
  <si>
    <t>Mar08</t>
  </si>
  <si>
    <t>Jun08</t>
  </si>
  <si>
    <t>Mar09</t>
  </si>
  <si>
    <t>Jun09</t>
  </si>
  <si>
    <t>Mar10</t>
  </si>
  <si>
    <t>Jun10</t>
  </si>
  <si>
    <t>Mar11</t>
  </si>
  <si>
    <t>Jun11</t>
  </si>
  <si>
    <t>Mar12</t>
  </si>
  <si>
    <t>Jun12</t>
  </si>
  <si>
    <t>Mar13</t>
  </si>
  <si>
    <t>Jun13</t>
  </si>
  <si>
    <t>Mar14</t>
  </si>
  <si>
    <t>Jun14</t>
  </si>
  <si>
    <t>Mar15</t>
  </si>
  <si>
    <t>Jun15</t>
  </si>
  <si>
    <t>Mar16</t>
  </si>
  <si>
    <t>Jun16</t>
  </si>
  <si>
    <t xml:space="preserve">            BANCO BRADESCO S.A.</t>
  </si>
  <si>
    <t>2)</t>
  </si>
  <si>
    <t>3)</t>
  </si>
  <si>
    <t>4)</t>
  </si>
  <si>
    <t>5)</t>
  </si>
  <si>
    <t>6)</t>
  </si>
  <si>
    <t>7)</t>
  </si>
  <si>
    <t>8)</t>
  </si>
  <si>
    <t>9)</t>
  </si>
  <si>
    <t>10)</t>
  </si>
  <si>
    <t>11)</t>
  </si>
  <si>
    <t>12)</t>
  </si>
  <si>
    <t>13)</t>
  </si>
  <si>
    <t>14)</t>
  </si>
  <si>
    <t>15)</t>
  </si>
  <si>
    <t>nº</t>
  </si>
  <si>
    <t>Mar17</t>
  </si>
  <si>
    <t>Balance sheet</t>
  </si>
  <si>
    <t>Domestic</t>
  </si>
  <si>
    <t>Foreign     (1) (2)</t>
  </si>
  <si>
    <t>Assets</t>
  </si>
  <si>
    <t xml:space="preserve">Investments </t>
  </si>
  <si>
    <t>Intangible Assets</t>
  </si>
  <si>
    <t>Liabilities</t>
  </si>
  <si>
    <t>Deposits</t>
  </si>
  <si>
    <t>Derivative financial instruments</t>
  </si>
  <si>
    <t>- Others</t>
  </si>
  <si>
    <t>Deferred income</t>
  </si>
  <si>
    <t>Minority interest in subsidiaries</t>
  </si>
  <si>
    <t>Derivatives - Net position (2)</t>
  </si>
  <si>
    <t>Other net memorandum accounts (3)</t>
  </si>
  <si>
    <t>(1) Amounts basically expressed and/or indexed in US dollars;</t>
  </si>
  <si>
    <t>(2) Excluding operations falling due in D+1, to be settled in the last day of the month; and</t>
  </si>
  <si>
    <t>(3) Refer to leasing commitments and others, recorded in memorandum account.</t>
  </si>
  <si>
    <t>Securities - R$ million</t>
  </si>
  <si>
    <t>Privatization currencies</t>
  </si>
  <si>
    <t>Others</t>
  </si>
  <si>
    <t>Shares</t>
  </si>
  <si>
    <t>Debentures</t>
  </si>
  <si>
    <t>Promissory Notes</t>
  </si>
  <si>
    <t xml:space="preserve"> - Funds</t>
  </si>
  <si>
    <t>Risk level</t>
  </si>
  <si>
    <t>Industry</t>
  </si>
  <si>
    <t>Commerce</t>
  </si>
  <si>
    <t>Financial Intermediates</t>
  </si>
  <si>
    <t>Services</t>
  </si>
  <si>
    <t>Individuals</t>
  </si>
  <si>
    <t>Largest borrower</t>
  </si>
  <si>
    <t>10 largest borrowers</t>
  </si>
  <si>
    <t>20 largest borrowers</t>
  </si>
  <si>
    <t>50 largest borrowers</t>
  </si>
  <si>
    <t>100 largest borrowers</t>
  </si>
  <si>
    <t>(1) In relation to total of the portfolio (Bacen criterion).</t>
  </si>
  <si>
    <t>Vehicles</t>
  </si>
  <si>
    <t>% Minimum Required Provision</t>
  </si>
  <si>
    <t>Allowance for Loan Losses - PDD - R$ million</t>
  </si>
  <si>
    <t>Opening balance</t>
  </si>
  <si>
    <t>Closing balance</t>
  </si>
  <si>
    <t>Allowance for loan losses</t>
  </si>
  <si>
    <r>
      <t>(2)</t>
    </r>
    <r>
      <rPr>
        <sz val="7"/>
        <rFont val="Arial"/>
        <family val="2"/>
      </rPr>
      <t xml:space="preserve">    </t>
    </r>
    <r>
      <rPr>
        <sz val="9"/>
        <rFont val="Arial"/>
        <family val="2"/>
      </rPr>
      <t>Deferred tax assets from financial companies and similar companies, and insurance companies were established considering the increase in the social contribution rate, determined by Law No. 11,727/08 and Law No. 13,169/15.</t>
    </r>
  </si>
  <si>
    <t>Funding</t>
  </si>
  <si>
    <t>Federal funds purchased and securities sold under agreements to repurchase</t>
  </si>
  <si>
    <t>Subordinated debts</t>
  </si>
  <si>
    <t>Foreign exchange portfolio</t>
  </si>
  <si>
    <t xml:space="preserve">Funds </t>
  </si>
  <si>
    <t>Interest</t>
  </si>
  <si>
    <t>Loan</t>
  </si>
  <si>
    <t>Insurance</t>
  </si>
  <si>
    <t>Collection</t>
  </si>
  <si>
    <t>Structural</t>
  </si>
  <si>
    <t>Benefits</t>
  </si>
  <si>
    <t>Non Structural</t>
  </si>
  <si>
    <t>Training</t>
  </si>
  <si>
    <t>Communication</t>
  </si>
  <si>
    <t>Advertising</t>
  </si>
  <si>
    <t>Transportation</t>
  </si>
  <si>
    <t>Rentals</t>
  </si>
  <si>
    <t>Materials</t>
  </si>
  <si>
    <t>Travel</t>
  </si>
  <si>
    <t>Other</t>
  </si>
  <si>
    <t>Annualized Return on Shareholders’ Equity (total) (3)</t>
  </si>
  <si>
    <t>Annualized Return on Average Shareholders’ Equity (3)</t>
  </si>
  <si>
    <t>Annualized Return on Total Assets (total) (3)</t>
  </si>
  <si>
    <t>Annualized Return on Average Assets (3)</t>
  </si>
  <si>
    <t>Shareholders’ Equity on Total Assets</t>
  </si>
  <si>
    <t>Capital Adequacy Ratio (Basel IIl) - Prudential Conglomerate (1)</t>
  </si>
  <si>
    <t>Capital Adequacy Ratio (Basel) - Total Consolidated (1) (2)</t>
  </si>
  <si>
    <t>Fixed Assets to Shareholders' Equity Ratio - Financial Consolidated</t>
  </si>
  <si>
    <t>Fixed Assets to Shareholders' Equity Ratio - Prudential Conglomerate (4)</t>
  </si>
  <si>
    <t>Fixed Assets to Shareholders' Equity Ratio - Total Consolidated</t>
  </si>
  <si>
    <t>Combined Ratio - Insurance</t>
  </si>
  <si>
    <t>Efficiency Ratio (in the previous 12 months)</t>
  </si>
  <si>
    <t>Coverage Ratio – (Fee and Commission Income / Personnel Expenses and Other Administrative Expenses) (in the previous 12 months)</t>
  </si>
  <si>
    <t>Claim Ratio (Retained Claims / Earned Premiums)</t>
  </si>
  <si>
    <t>(1) As of January 2015, the index calculated based on the Prudential Conglomerate should be considered, in accordance with the CMN Resolution No. 4.192/13. It is worth highlighting that the Prudential Conglomerate is calculated in accordance with the regulation guidelines of the CMN Resolution No. 4.280/13;</t>
  </si>
  <si>
    <t>(2) Since October 2013, the Capital Adequacy Ratio calculation follows regulatory guidelines set forth in CMN Resolutions No. 4.192/13 and 4.193/13 Capital Adequacy Ratio (Basel III);</t>
  </si>
  <si>
    <r>
      <t xml:space="preserve">Capital Adequacy Ratio (Basel) - Financial Consolidated (1) </t>
    </r>
    <r>
      <rPr>
        <sz val="9"/>
        <color indexed="10"/>
        <rFont val="Arial"/>
        <family val="2"/>
      </rPr>
      <t>(2)</t>
    </r>
  </si>
  <si>
    <t>Personnel expenses</t>
  </si>
  <si>
    <t>Other administrative expenses</t>
  </si>
  <si>
    <t>Fee and commission income</t>
  </si>
  <si>
    <t>Retained claims</t>
  </si>
  <si>
    <t>Other operating expenses</t>
  </si>
  <si>
    <t>Other operating income</t>
  </si>
  <si>
    <t>Loan Portfolio - Portfolio Indicators - R$ million (except percentage)</t>
  </si>
  <si>
    <t xml:space="preserve">- Individuals </t>
  </si>
  <si>
    <t xml:space="preserve">- Corporate </t>
  </si>
  <si>
    <r>
      <t xml:space="preserve">Total Provision </t>
    </r>
    <r>
      <rPr>
        <b/>
        <sz val="5"/>
        <rFont val="Arial"/>
        <family val="2"/>
      </rPr>
      <t xml:space="preserve">(2) </t>
    </r>
  </si>
  <si>
    <t xml:space="preserve">- Specific </t>
  </si>
  <si>
    <t xml:space="preserve">- Generic </t>
  </si>
  <si>
    <r>
      <t xml:space="preserve">Specific Provision / Total Provision </t>
    </r>
    <r>
      <rPr>
        <sz val="5"/>
        <rFont val="Arial"/>
        <family val="2"/>
      </rPr>
      <t xml:space="preserve">(2) </t>
    </r>
    <r>
      <rPr>
        <sz val="8"/>
        <rFont val="Arial"/>
        <family val="2"/>
      </rPr>
      <t>(%)</t>
    </r>
  </si>
  <si>
    <r>
      <t xml:space="preserve">Total Provision </t>
    </r>
    <r>
      <rPr>
        <sz val="5"/>
        <rFont val="Arial"/>
        <family val="2"/>
      </rPr>
      <t xml:space="preserve">(2) </t>
    </r>
    <r>
      <rPr>
        <sz val="8"/>
        <rFont val="Arial"/>
        <family val="2"/>
      </rPr>
      <t>/ Loan Operations (%)</t>
    </r>
  </si>
  <si>
    <t>AA - C Rated Loan Operations / Loan Operations (%)</t>
  </si>
  <si>
    <t>D Rated Operations under Risk Management / Loan Operations (%)</t>
  </si>
  <si>
    <t>E - H Rated Loan Operations / Loan Operations (%)</t>
  </si>
  <si>
    <t xml:space="preserve">D Rated Loan Operations </t>
  </si>
  <si>
    <t>D Rated Provision / Loan Operations (%)</t>
  </si>
  <si>
    <t xml:space="preserve">D - H Rated Non-Performing Loans </t>
  </si>
  <si>
    <r>
      <t xml:space="preserve">Total Provision </t>
    </r>
    <r>
      <rPr>
        <sz val="5"/>
        <rFont val="Arial"/>
        <family val="2"/>
      </rPr>
      <t xml:space="preserve">(2) </t>
    </r>
    <r>
      <rPr>
        <sz val="8"/>
        <rFont val="Arial"/>
        <family val="2"/>
      </rPr>
      <t>/ D-to-H-rated Non-performing Loans (%)</t>
    </r>
  </si>
  <si>
    <t xml:space="preserve">E - H Rated Loan Operations </t>
  </si>
  <si>
    <t>E - H Rated Provision / Loan Operations (%)</t>
  </si>
  <si>
    <t xml:space="preserve">E - H Rated Non-Performing Loans </t>
  </si>
  <si>
    <r>
      <t xml:space="preserve">Total Provision </t>
    </r>
    <r>
      <rPr>
        <sz val="5"/>
        <rFont val="Arial"/>
        <family val="2"/>
      </rPr>
      <t xml:space="preserve">(2) </t>
    </r>
    <r>
      <rPr>
        <sz val="8"/>
        <rFont val="Arial"/>
        <family val="2"/>
      </rPr>
      <t>/ E-to-H-rated Non-performing Loans (%)</t>
    </r>
  </si>
  <si>
    <t xml:space="preserve">Loan Operations Overdue for over 90 days </t>
  </si>
  <si>
    <t xml:space="preserve">Loan Operations Overdue for over 90 days / Loan Operations (%) </t>
  </si>
  <si>
    <r>
      <t xml:space="preserve">Coverage Ratio - Total Provision </t>
    </r>
    <r>
      <rPr>
        <sz val="5"/>
        <rFont val="Arial"/>
        <family val="2"/>
      </rPr>
      <t xml:space="preserve">(2) </t>
    </r>
    <r>
      <rPr>
        <sz val="8"/>
        <rFont val="Arial"/>
        <family val="2"/>
      </rPr>
      <t>/ Operations Overdue for over 90 days (%)</t>
    </r>
  </si>
  <si>
    <t>Securities</t>
  </si>
  <si>
    <t>Balance Sheet by Currency</t>
  </si>
  <si>
    <t>Securities by Issuer</t>
  </si>
  <si>
    <t>Loan Operations</t>
  </si>
  <si>
    <t>Consumer Financing</t>
  </si>
  <si>
    <t>Largest Borrowers</t>
  </si>
  <si>
    <t>Allowance for Loan Losses - PDD</t>
  </si>
  <si>
    <t>PDD Movement (Book Value)</t>
  </si>
  <si>
    <t>Tax Credits</t>
  </si>
  <si>
    <t>Liability Contingencies</t>
  </si>
  <si>
    <t>Provisions by Account</t>
  </si>
  <si>
    <t>Income Breakdown by Segment</t>
  </si>
  <si>
    <t>Fee and Commission Income</t>
  </si>
  <si>
    <t>Personnel Expenses</t>
  </si>
  <si>
    <t>Other Administrative Expenses</t>
  </si>
  <si>
    <t>Loan Portfolio - Indicators</t>
  </si>
  <si>
    <t>Leasing operations</t>
  </si>
  <si>
    <t>Allowance for loan losses expenses</t>
  </si>
  <si>
    <t>Gross income from financial intermediation</t>
  </si>
  <si>
    <t>Other operating income/expenses</t>
  </si>
  <si>
    <t xml:space="preserve">Tax expenses </t>
  </si>
  <si>
    <t>Equity in the earnings of affiliated companies</t>
  </si>
  <si>
    <t>Operating income</t>
  </si>
  <si>
    <t>Non-operating income</t>
  </si>
  <si>
    <t>Income before taxes on income and interest</t>
  </si>
  <si>
    <t>Income tax and social contribution</t>
  </si>
  <si>
    <t>(1) As defined by Bacen; and</t>
  </si>
  <si>
    <t>A S S E T S</t>
  </si>
  <si>
    <t>CURRENT AND LONG-TERM ASSETS</t>
  </si>
  <si>
    <t>FUNDS AVAILABLE</t>
  </si>
  <si>
    <t>INTERBANK INVESTMENTS</t>
  </si>
  <si>
    <t>Interest-earning deposits in other banks</t>
  </si>
  <si>
    <t>SECURITIES AND DERIVATIVE FINANCIAL INSTRUMENTS</t>
  </si>
  <si>
    <t>Own portfolio</t>
  </si>
  <si>
    <t>Subject to repurchase agreements</t>
  </si>
  <si>
    <t>Subject to the Brazilian Central Bank</t>
  </si>
  <si>
    <t>Subject to collateral provided</t>
  </si>
  <si>
    <t>Securities purpose of unrestricted purchase and sale commitments</t>
  </si>
  <si>
    <t>INTERBANK ACCOUNTS</t>
  </si>
  <si>
    <t>Payments and receipts to settle</t>
  </si>
  <si>
    <t>Restricted credits:</t>
  </si>
  <si>
    <t>- Restricted deposits - Brazilian Central Bank</t>
  </si>
  <si>
    <t>- National treasury - rural loan</t>
  </si>
  <si>
    <t xml:space="preserve">- SFH - Financial Housing System </t>
  </si>
  <si>
    <t>Interbank onlending</t>
  </si>
  <si>
    <t>Correspondent banks</t>
  </si>
  <si>
    <t>INTERDEPARTMENTAL ACCOUNTS</t>
  </si>
  <si>
    <t>Internal transfer of funds</t>
  </si>
  <si>
    <t>LOAN OPERATIONS</t>
  </si>
  <si>
    <t>Loan operations:</t>
  </si>
  <si>
    <t>- Public sector</t>
  </si>
  <si>
    <t>- Private sector</t>
  </si>
  <si>
    <t>Credit Operations Related to Disposal</t>
  </si>
  <si>
    <t>LEASING OPERATIONS</t>
  </si>
  <si>
    <t>Unearned income from leasing</t>
  </si>
  <si>
    <t>Allowance for leasing losses</t>
  </si>
  <si>
    <t>OTHER RECEIVABLES</t>
  </si>
  <si>
    <t>Receivables on sureties and guarantees honored</t>
  </si>
  <si>
    <t>Receivables</t>
  </si>
  <si>
    <t>Securities trading</t>
  </si>
  <si>
    <t>Specific loan</t>
  </si>
  <si>
    <t>Sundry</t>
  </si>
  <si>
    <t>Allowance for other loan losses</t>
  </si>
  <si>
    <t>OTHER ASSETS</t>
  </si>
  <si>
    <t>Other assets</t>
  </si>
  <si>
    <t>Provision for depreciation</t>
  </si>
  <si>
    <t>Prepaid expenses</t>
  </si>
  <si>
    <t>PERMANENT ASSETS</t>
  </si>
  <si>
    <t>INVESTMENTS</t>
  </si>
  <si>
    <t>- Local</t>
  </si>
  <si>
    <t>Other investments</t>
  </si>
  <si>
    <t>Allowance for losses</t>
  </si>
  <si>
    <t>PREMISES AND EQUIPMENT</t>
  </si>
  <si>
    <t>Premises and equipment</t>
  </si>
  <si>
    <t>Other premises and equipment</t>
  </si>
  <si>
    <t>Accumulated depreciation</t>
  </si>
  <si>
    <t>LEASED ASSETS</t>
  </si>
  <si>
    <t>Leased assets</t>
  </si>
  <si>
    <t>DEFERRED CHARGES</t>
  </si>
  <si>
    <t>Organization and expansion costs</t>
  </si>
  <si>
    <t>Accumulated amortization</t>
  </si>
  <si>
    <t>INTANGIBLE ASSETS</t>
  </si>
  <si>
    <t>L I A B I L I T I E S</t>
  </si>
  <si>
    <t>CURRENT AND LONG-TERM LIABILITIES</t>
  </si>
  <si>
    <t>DEPOSITS</t>
  </si>
  <si>
    <t>Demand deposits</t>
  </si>
  <si>
    <t>Savings deposits</t>
  </si>
  <si>
    <t>Interbank deposits</t>
  </si>
  <si>
    <t>Time deposits</t>
  </si>
  <si>
    <t>Other deposits</t>
  </si>
  <si>
    <t xml:space="preserve">FEDERAL FUNDS PURCHASED AND SECURITIES SOLD UNDER AGREEMENTS TO REPURCHASE </t>
  </si>
  <si>
    <t>Third-party portfolio</t>
  </si>
  <si>
    <t>Unrestricted portfolio</t>
  </si>
  <si>
    <t>FUNDS FROM ISSUANCE OF SECURITIES</t>
  </si>
  <si>
    <t>Exchange acceptances</t>
  </si>
  <si>
    <t>Mortgage and real estate notes, letters of credit and others</t>
  </si>
  <si>
    <t>Securities issued abroad</t>
  </si>
  <si>
    <t>Structured Operations Certificates</t>
  </si>
  <si>
    <t>Asset management in transit</t>
  </si>
  <si>
    <t>BORROWING</t>
  </si>
  <si>
    <t>Local borrowing - official institutions</t>
  </si>
  <si>
    <t>Local borrowing - other institutions</t>
  </si>
  <si>
    <t>Borrowing abroad</t>
  </si>
  <si>
    <t>LOCAL ONLENDING - OFFICIAL INSTITUTIONS</t>
  </si>
  <si>
    <t>National treasury</t>
  </si>
  <si>
    <t>BNDES (National Bank for Economic and Social Development)</t>
  </si>
  <si>
    <t>CEF (Federal Savings Bank)</t>
  </si>
  <si>
    <t>FINAME (Fund for Financing the Acquisition of Industrial Machinery and Equipment)</t>
  </si>
  <si>
    <t>Other institutions</t>
  </si>
  <si>
    <t>FOREIGN ONLENDING.</t>
  </si>
  <si>
    <t>Foreign onlending</t>
  </si>
  <si>
    <t>DERIVATIVE FINANCIAL INSTRUMENTS</t>
  </si>
  <si>
    <t xml:space="preserve">TECHNICAL PROVISIONS FOR INSURANCE, PRIVATE PENSION PLANS AND CERTIFICATED SAVINGS PLANS </t>
  </si>
  <si>
    <t>OTHER LIABILITIES</t>
  </si>
  <si>
    <t>Collection and tax payments and other contributions</t>
  </si>
  <si>
    <t>Social and statutory</t>
  </si>
  <si>
    <t>Financial and development funds</t>
  </si>
  <si>
    <t>DEFERRED INCOME</t>
  </si>
  <si>
    <t>MINORITY INTEREST IN SUBSIDIARIES</t>
  </si>
  <si>
    <t>SHAREHOLDERS' EQUITY</t>
  </si>
  <si>
    <t>- Domiciled in Brazil</t>
  </si>
  <si>
    <t>- Domiciled abroad</t>
  </si>
  <si>
    <t>Paid-up capital</t>
  </si>
  <si>
    <t>Capital reserves</t>
  </si>
  <si>
    <t>Profit reserves</t>
  </si>
  <si>
    <t>Asset valuation adjustments</t>
  </si>
  <si>
    <t>Treasury shares</t>
  </si>
  <si>
    <t>Working capital</t>
  </si>
  <si>
    <t>Financial</t>
  </si>
  <si>
    <t>Economic-Financial</t>
  </si>
  <si>
    <t>Prudential</t>
  </si>
  <si>
    <t>Basel I</t>
  </si>
  <si>
    <t>Basel II</t>
  </si>
  <si>
    <t>Basel III</t>
  </si>
  <si>
    <t>- Tier I</t>
  </si>
  <si>
    <t>- Tier II</t>
  </si>
  <si>
    <t>Margin</t>
  </si>
  <si>
    <t>Capital Adequacy Ratio (Basel) (%)</t>
  </si>
  <si>
    <t>As from September 2008 to September 2013, information contained herein refers to Basel II criteria.</t>
  </si>
  <si>
    <t>(1) As per January 2015, the Capital Adequacy Ratio started to be calculated based on the "Prudential Conglomerate", according to Resolution No. 4,192/13 of CMN; and</t>
  </si>
  <si>
    <t>(2) If we consider the approval of Bacen, in November 2016, of the bonds as Eligible Subordinate Debts at Tier I Capital, the Basel index would be 15.33%.</t>
  </si>
  <si>
    <t>Sep07</t>
  </si>
  <si>
    <t>Sep08</t>
  </si>
  <si>
    <t>Sep09</t>
  </si>
  <si>
    <t>Sep10</t>
  </si>
  <si>
    <t>Sep11</t>
  </si>
  <si>
    <t>Sep12</t>
  </si>
  <si>
    <t>Sep13</t>
  </si>
  <si>
    <t>Sep14</t>
  </si>
  <si>
    <t>Sep15</t>
  </si>
  <si>
    <t>Sep16</t>
  </si>
  <si>
    <t>Dec07</t>
  </si>
  <si>
    <t>Dec08</t>
  </si>
  <si>
    <t>Dec09</t>
  </si>
  <si>
    <t>Dec10</t>
  </si>
  <si>
    <t>Dec11</t>
  </si>
  <si>
    <t>Dec12</t>
  </si>
  <si>
    <t>Dec13</t>
  </si>
  <si>
    <t>Dec14</t>
  </si>
  <si>
    <t>Dec15</t>
  </si>
  <si>
    <t>Dec16</t>
  </si>
  <si>
    <t>CDC / Vehicle Leasing</t>
  </si>
  <si>
    <t>Sureties and Guarantees</t>
  </si>
  <si>
    <t>Normal Provision</t>
  </si>
  <si>
    <t>Public Sector</t>
  </si>
  <si>
    <t>Private Sector</t>
  </si>
  <si>
    <t>Retail</t>
  </si>
  <si>
    <t>Automotive</t>
  </si>
  <si>
    <t>Wholesale</t>
  </si>
  <si>
    <t>Financial Reports - Historical Series</t>
  </si>
  <si>
    <t>Click the title to view the worksheet</t>
  </si>
  <si>
    <t>Managerial Assets</t>
  </si>
  <si>
    <t xml:space="preserve">Managerial Liabilities </t>
  </si>
  <si>
    <t>(1) For more information, please see note 4 – Statement of Financial Position and Statement of Managerial Income, in chapter 6 of this Economic and Financial Analisys Report; and</t>
  </si>
  <si>
    <t>As of March 2017, a new classification criterion was established for the Activity Sector.</t>
  </si>
  <si>
    <t>As of June 2011, it considers credit operations in the expanded portfolio concept; and</t>
  </si>
  <si>
    <t>(1) Relationship between existing provision and portfolio, by level of risk.</t>
  </si>
  <si>
    <t>Balance Transfer (1)</t>
  </si>
  <si>
    <t>(2) Up to December 31, 2016, included the constitution of provision for guarantees provided, encompassing sureties, guarantees, credit letters, and standby letter of credit, which comprises the concept of “excess” provision that totaled R$3.060 million. In accordance with Resolution No. 4,512/16, in the first quarter of 2017, part of this balance (R$605 million) was allocated to a specific account under "Other Liabilities - Sundry", and the remaining balance (R$2.456 million) was allocated to “Excess Provision".</t>
  </si>
  <si>
    <t>(1) Up to December 31, 2016, included the constitution of provision for guarantees provided, encompassing sureties, guarantees, credit letters, and standby letter of credit, which comprises the concept of “excess” provision that totaled R$3,061 million. In accordance with Resolution No. 4,512/16, in the first quarter of 2017, part of this balance (R$604 million) was allocated to a specific account under "Other Liabilities - Sundry", and the remaining balance (R$2,456 million) was allocated to “Excess Provision”.</t>
  </si>
  <si>
    <t>Activity Sector (former)</t>
  </si>
  <si>
    <t>Activity Sector (current)</t>
  </si>
  <si>
    <t>- Information as of March/07.</t>
  </si>
  <si>
    <r>
      <t xml:space="preserve">- If you have questions, please send an email to: </t>
    </r>
    <r>
      <rPr>
        <b/>
        <u/>
        <sz val="10"/>
        <color indexed="12"/>
        <rFont val="Arial"/>
        <family val="2"/>
      </rPr>
      <t>investidores@bradesco.com.br</t>
    </r>
  </si>
  <si>
    <t>Health</t>
  </si>
  <si>
    <t>Auto/RCF (Optional Third-Party Liability)</t>
  </si>
  <si>
    <t>Dpvat (Compulsory Vehicle Insurance)</t>
  </si>
  <si>
    <t>Life</t>
  </si>
  <si>
    <t>Unrestricted Benefits Generating Plan (PGBL)</t>
  </si>
  <si>
    <t>Long-term Life Insurance (VGBL)</t>
  </si>
  <si>
    <t>Portfolio by Company Size (Bacen)</t>
  </si>
  <si>
    <t>Portfolio by Company Size (Expanded)</t>
  </si>
  <si>
    <t>Funding and Assets Managed</t>
  </si>
  <si>
    <t>Technical Provisions by Product</t>
  </si>
  <si>
    <t>Jun17</t>
  </si>
  <si>
    <r>
      <t xml:space="preserve">- Excess </t>
    </r>
    <r>
      <rPr>
        <sz val="5"/>
        <rFont val="Arial"/>
        <family val="2"/>
      </rPr>
      <t>(2)</t>
    </r>
  </si>
  <si>
    <t>Sep17</t>
  </si>
  <si>
    <t xml:space="preserve">Non-performing Loans </t>
  </si>
  <si>
    <r>
      <t xml:space="preserve">Non-performing Loans </t>
    </r>
    <r>
      <rPr>
        <sz val="8"/>
        <rFont val="Arial"/>
        <family val="2"/>
      </rPr>
      <t>/ Loan Operations (%)</t>
    </r>
  </si>
  <si>
    <r>
      <t xml:space="preserve">Coverage Ratio - Total Provision </t>
    </r>
    <r>
      <rPr>
        <sz val="5"/>
        <rFont val="Arial"/>
        <family val="2"/>
      </rPr>
      <t xml:space="preserve">(2) </t>
    </r>
    <r>
      <rPr>
        <sz val="8"/>
        <rFont val="Arial"/>
        <family val="2"/>
      </rPr>
      <t xml:space="preserve">/ Non Performing Loans </t>
    </r>
    <r>
      <rPr>
        <sz val="8"/>
        <rFont val="Arial"/>
        <family val="2"/>
      </rPr>
      <t>(%)</t>
    </r>
  </si>
  <si>
    <t>Sundry (2) (3)</t>
  </si>
  <si>
    <t>Retained premium from insurance, pension plans and capitalization bonds</t>
  </si>
  <si>
    <t>Variation in technical provisions for insurance, pension plans and capitalization bonds</t>
  </si>
  <si>
    <t>Capitalization bond prize draws and redemptions</t>
  </si>
  <si>
    <t>Selling expenses from insurance, pension plans and capitalization bonds</t>
  </si>
  <si>
    <t xml:space="preserve">Cash Receipts of Payments Pending Settlement </t>
  </si>
  <si>
    <t>Fiscal and social security</t>
  </si>
  <si>
    <t>.</t>
  </si>
  <si>
    <t>Portfolio by Type - R$ million</t>
  </si>
  <si>
    <t>Portfolio by Type (Bacen) - R$ million</t>
  </si>
  <si>
    <t>Portfolio by Type (Bacen)</t>
  </si>
  <si>
    <t>Portfolio by Type (Expanded)</t>
  </si>
  <si>
    <t>Personal Loan</t>
  </si>
  <si>
    <t>Credit Card Financing</t>
  </si>
  <si>
    <t>Real Estate Financing</t>
  </si>
  <si>
    <t>Check Discount</t>
  </si>
  <si>
    <t>Working Capital</t>
  </si>
  <si>
    <t>CDC /  Leasing</t>
  </si>
  <si>
    <t>Management Balance Sheet  (1) - R$ million</t>
  </si>
  <si>
    <t>Dec17</t>
  </si>
  <si>
    <t>3T15</t>
  </si>
  <si>
    <t>1Q07</t>
  </si>
  <si>
    <t>2Q07</t>
  </si>
  <si>
    <t>3Q07</t>
  </si>
  <si>
    <t>4Q07</t>
  </si>
  <si>
    <t>1Q08</t>
  </si>
  <si>
    <t>2Q08</t>
  </si>
  <si>
    <t>3Q08</t>
  </si>
  <si>
    <t>4Q08</t>
  </si>
  <si>
    <t>1Q09</t>
  </si>
  <si>
    <t>2Q09</t>
  </si>
  <si>
    <t>3Q09</t>
  </si>
  <si>
    <t>4Q09</t>
  </si>
  <si>
    <t>1Q10</t>
  </si>
  <si>
    <t>2Q10</t>
  </si>
  <si>
    <t>3Q10</t>
  </si>
  <si>
    <t>4Q10</t>
  </si>
  <si>
    <t>1Q11</t>
  </si>
  <si>
    <t>2Q11</t>
  </si>
  <si>
    <t>3Q11</t>
  </si>
  <si>
    <t>4Q11</t>
  </si>
  <si>
    <t>1Q12</t>
  </si>
  <si>
    <t>2Q12</t>
  </si>
  <si>
    <t>3Q12</t>
  </si>
  <si>
    <t>4Q12</t>
  </si>
  <si>
    <t>1Q13</t>
  </si>
  <si>
    <t>2Q13</t>
  </si>
  <si>
    <t>3Q13</t>
  </si>
  <si>
    <t>4Q13</t>
  </si>
  <si>
    <t>1Q14</t>
  </si>
  <si>
    <t>2Q14</t>
  </si>
  <si>
    <t>3Q14</t>
  </si>
  <si>
    <t>4Q14</t>
  </si>
  <si>
    <t>1Q15</t>
  </si>
  <si>
    <t>2Q15</t>
  </si>
  <si>
    <t>4Q15</t>
  </si>
  <si>
    <t>1Q16</t>
  </si>
  <si>
    <t>2Q16</t>
  </si>
  <si>
    <t>3Q16</t>
  </si>
  <si>
    <t>12M07</t>
  </si>
  <si>
    <t>12M08</t>
  </si>
  <si>
    <t>12M09</t>
  </si>
  <si>
    <t>12M10</t>
  </si>
  <si>
    <t>12M11</t>
  </si>
  <si>
    <t>12M12</t>
  </si>
  <si>
    <t>12M13</t>
  </si>
  <si>
    <t>12M14</t>
  </si>
  <si>
    <t>12M15</t>
  </si>
  <si>
    <t>12M16</t>
  </si>
  <si>
    <t>12M17</t>
  </si>
  <si>
    <t>4Q16</t>
  </si>
  <si>
    <t>1Q17</t>
  </si>
  <si>
    <t>2Q17</t>
  </si>
  <si>
    <t>3Q17</t>
  </si>
  <si>
    <t>4Q17</t>
  </si>
  <si>
    <t>% of Assets</t>
  </si>
  <si>
    <t>Purchase and Sale Commitments</t>
  </si>
  <si>
    <t>Securities by Issuer - R$ million</t>
  </si>
  <si>
    <t>Loan Operations - R$ million</t>
  </si>
  <si>
    <t>Activity Sector (former) - R$ million</t>
  </si>
  <si>
    <t>Activity Sector (current) - R$ million</t>
  </si>
  <si>
    <t>Companies</t>
  </si>
  <si>
    <t>Production and Distribution of Electricity</t>
  </si>
  <si>
    <t>Other Sectors</t>
  </si>
  <si>
    <t>Real Estate and Construction Activities</t>
  </si>
  <si>
    <t>Transportation and Concession</t>
  </si>
  <si>
    <t>Food Products</t>
  </si>
  <si>
    <t>Oil, Derivatives and Aggregate Activities</t>
  </si>
  <si>
    <t>Loan Portfolio by Company Size (Bacen) - R$ million</t>
  </si>
  <si>
    <t>Micro / Small- and Medium-Sized Companies</t>
  </si>
  <si>
    <t>Loan Portfolio by Company Size (Expanded) - R$ million</t>
  </si>
  <si>
    <t>(1) As of December 2013, it considers credit operations in the expanded portfolio concept.</t>
  </si>
  <si>
    <t>BNDES (National Bank for Economic and Social Development) Onlending</t>
  </si>
  <si>
    <t>Credit Card</t>
  </si>
  <si>
    <t>Consumer Financing - R$ million</t>
  </si>
  <si>
    <t>Largest Borrowers - R$ million</t>
  </si>
  <si>
    <t>PDD Movement - (Book Value) - R$ million</t>
  </si>
  <si>
    <t xml:space="preserve">Amounts Recorded </t>
  </si>
  <si>
    <t>Amounts Written-off</t>
  </si>
  <si>
    <t xml:space="preserve">Balance from Acquired Institutions </t>
  </si>
  <si>
    <t xml:space="preserve">  - Specific Provision </t>
  </si>
  <si>
    <t xml:space="preserve">  - Generic Provision </t>
  </si>
  <si>
    <t>Additional Provision (1)</t>
  </si>
  <si>
    <t>Tax Credits / Deferred Tax Liabilities - R$ million</t>
  </si>
  <si>
    <t>Allowance for Loan Losses</t>
  </si>
  <si>
    <t>Provision for Tax and Civil Contingencies</t>
  </si>
  <si>
    <t>Labor Provision</t>
  </si>
  <si>
    <t>Provision for Devaluation of Securities and Investments</t>
  </si>
  <si>
    <t>Provision for Depreciation of Foreclosed Assets</t>
  </si>
  <si>
    <t xml:space="preserve">Adjustment to Market value of Trading Securities </t>
  </si>
  <si>
    <t>Amortized Goodwill</t>
  </si>
  <si>
    <t>Provision for Interest on Shareholders' Capital (1)</t>
  </si>
  <si>
    <t>Total Tax Credits on Temporary Differences</t>
  </si>
  <si>
    <t>Tax Loss and Negative Basis of Social Contribution of the Country</t>
  </si>
  <si>
    <t>Total Tax Credits</t>
  </si>
  <si>
    <t>Tax Loss and Negative Basis of Social Contribution Abroad</t>
  </si>
  <si>
    <t>Social Contribution - Provisional Measure 2.158-35 of 8.24.2001</t>
  </si>
  <si>
    <t>Deferred Tax Liabilities</t>
  </si>
  <si>
    <t>Funding and Assets Managed - R$ million</t>
  </si>
  <si>
    <t>Federal Funds Purchased and Securities Sold Under Agreements to Repurchase</t>
  </si>
  <si>
    <t>Funds from Acceptances and Issuance of Securities</t>
  </si>
  <si>
    <t>Borrowing and Onlending</t>
  </si>
  <si>
    <t>Subordinated Debts</t>
  </si>
  <si>
    <t>Securitization of Future Financial Flows</t>
  </si>
  <si>
    <t>Company's/Managed Working Capital (*)</t>
  </si>
  <si>
    <t>Collection and Tax Payments and Others</t>
  </si>
  <si>
    <t>Foreign Exchange Portfolio</t>
  </si>
  <si>
    <t>Techical Provisions for Insurance, Private Pension Plans and Certificated Savings Plans</t>
  </si>
  <si>
    <t>Managed in Domestic Currency</t>
  </si>
  <si>
    <t>Managed Portfolios</t>
  </si>
  <si>
    <t>Tax Lawsuits</t>
  </si>
  <si>
    <t>Labor Claims</t>
  </si>
  <si>
    <t>Civil Lawsuits</t>
  </si>
  <si>
    <t>Liability Contingencies - R$ million</t>
  </si>
  <si>
    <t>Provisions for Insurance, Private Pension Plans and Certificated Savings Plans by Account - R$ million</t>
  </si>
  <si>
    <t>Mathematical Reserve for Unvested Benefits</t>
  </si>
  <si>
    <t>Mathematical Reserve for Vested Benefits</t>
  </si>
  <si>
    <t>Mathematical Reserve for Capitalization Bonds</t>
  </si>
  <si>
    <t>Reserve for Claims Incurred But Not Reported (IBNR)</t>
  </si>
  <si>
    <t>Unearned Premium Reserve</t>
  </si>
  <si>
    <t>Complementary Reserve for Coverage</t>
  </si>
  <si>
    <t>Reserve for Unsettled Claims</t>
  </si>
  <si>
    <t>Reserve for Financial Surplus</t>
  </si>
  <si>
    <t>Reserve for Draws and Redemptions</t>
  </si>
  <si>
    <t>Other Reserves</t>
  </si>
  <si>
    <t>Technical Provisions for Insurance, Private Pension Plans and Certificated Savings Plans by Product - R$ million</t>
  </si>
  <si>
    <t>Traditional Plans</t>
  </si>
  <si>
    <t>Certificated Savings Plans</t>
  </si>
  <si>
    <t>Basic Lines</t>
  </si>
  <si>
    <t>Financial Margin</t>
  </si>
  <si>
    <t>Retained Claims</t>
  </si>
  <si>
    <t>Income from Insurance, Pension Plans and Capitalization Bonds - R$ million</t>
  </si>
  <si>
    <t>Tax Expenses</t>
  </si>
  <si>
    <t>Other Operating Income</t>
  </si>
  <si>
    <t>Other Operating Expenses</t>
  </si>
  <si>
    <t>Non-Controlling Interests in Subsidiaries</t>
  </si>
  <si>
    <t>Income Breakdown by Segment - Percentage</t>
  </si>
  <si>
    <t>Financial Segment</t>
  </si>
  <si>
    <t>Insurance Segment</t>
  </si>
  <si>
    <t>Other Segments</t>
  </si>
  <si>
    <t>Impairment of Financial Assets</t>
  </si>
  <si>
    <t>Securities, Treasury and Other</t>
  </si>
  <si>
    <t>Non-Interest</t>
  </si>
  <si>
    <t>3Q15</t>
  </si>
  <si>
    <t>Fee and Commission Income - R$ million</t>
  </si>
  <si>
    <t>Card Income</t>
  </si>
  <si>
    <t>Checking Account</t>
  </si>
  <si>
    <t>Asset Management</t>
  </si>
  <si>
    <t>Custody and Brokerage Services</t>
  </si>
  <si>
    <t>Fee Consortium Management</t>
  </si>
  <si>
    <t>Tax Payment</t>
  </si>
  <si>
    <t>Personnel Expenses - R$ million</t>
  </si>
  <si>
    <t>Compensation/Social Charges</t>
  </si>
  <si>
    <t>Management and Employees Profit Sharing</t>
  </si>
  <si>
    <t>Provision for Labor Claims</t>
  </si>
  <si>
    <t xml:space="preserve">Termination Cost </t>
  </si>
  <si>
    <t>Other Administrative Expenses - R$ million</t>
  </si>
  <si>
    <t>Third-Party Services</t>
  </si>
  <si>
    <t>Depreciation and Amortization</t>
  </si>
  <si>
    <t>Financial System Services</t>
  </si>
  <si>
    <t>Data Processing</t>
  </si>
  <si>
    <t>Maintenance and Repairs</t>
  </si>
  <si>
    <t>Security and Surveillance</t>
  </si>
  <si>
    <t>Water, Electricity and Gas</t>
  </si>
  <si>
    <t>Annualized Return on Shareholders’ Equity (total) Without Adjustment to Market Value Reserve – Securities and Derivatives (3)</t>
  </si>
  <si>
    <t>Performance Ratios (annualized) - Percentage</t>
  </si>
  <si>
    <t>Annualized Return on Average Shareholders’ Equity without adjustment to market value reserve – Securities and derivatives (3)</t>
  </si>
  <si>
    <t>Efficiency Ratio (in the Previous 12 months)  - R$ million</t>
  </si>
  <si>
    <t>Employee Profit Sharing</t>
  </si>
  <si>
    <t xml:space="preserve">Insurance, Private Pension Plans and Certificated Savings Plans Retained Premiums   </t>
  </si>
  <si>
    <t>Changes in Technical Provisions for Insurance, Private Pension Plans and Certificated Savings Plans</t>
  </si>
  <si>
    <t>Certificated Savings Plans Drawings and Redemptions</t>
  </si>
  <si>
    <t xml:space="preserve">Insurance and Private Pension Plans Selling Expenses </t>
  </si>
  <si>
    <t>Subtotal of Insurance, Private Pension Plans and Certificated Savings Plans</t>
  </si>
  <si>
    <t>Equity in Earnings (Losses) of Affiliated Companies</t>
  </si>
  <si>
    <t>Personal Expenses</t>
  </si>
  <si>
    <t>Fee and Commission Income/Personal Expenses (%)</t>
  </si>
  <si>
    <t>Fee and Commission Income/Other Administrative Expenses (%)</t>
  </si>
  <si>
    <t>Fee and Commission Income/(Personal Expenses+Other Administrative Expenses) (%)</t>
  </si>
  <si>
    <t>Coverage Ratio (in the previous 12 months) - R$ million</t>
  </si>
  <si>
    <t>Reference Shareholders' Equity</t>
  </si>
  <si>
    <t>Shareholders' Equity</t>
  </si>
  <si>
    <t>Risk-weighted Assets</t>
  </si>
  <si>
    <t>Required Reference Equity (RE Minimum + Adiccional Capital)</t>
  </si>
  <si>
    <t>- Deduction of Funding Instruments (Bacen Resolution 3,444)</t>
  </si>
  <si>
    <t>Capital Adequacy Ratio (Basel) - R$ million</t>
  </si>
  <si>
    <t>Eligible Debt Capital Instruments</t>
  </si>
  <si>
    <t xml:space="preserve">SECURITIES SOLD UNDER AGREEMENTS TO REPURCHASE </t>
  </si>
  <si>
    <t>ATTRIBUTABLE TO EQUITY HOLDERS OD THE PARENT COMPANY</t>
  </si>
  <si>
    <t>Operations Abroad</t>
  </si>
  <si>
    <t>Export Financing</t>
  </si>
  <si>
    <t>BNDES/Finame Onlendings</t>
  </si>
  <si>
    <t>Overdraf t Account</t>
  </si>
  <si>
    <t>CDC / Leasing</t>
  </si>
  <si>
    <t>Rural Loans</t>
  </si>
  <si>
    <t>Operations Bearing Credit Risk  - Commercial Portfolio (1)</t>
  </si>
  <si>
    <t>Amount Recognized</t>
  </si>
  <si>
    <t>Amount Recovered</t>
  </si>
  <si>
    <t>Net Interest Income</t>
  </si>
  <si>
    <t>Balance Sheet by Currency - R$ million</t>
  </si>
  <si>
    <t>Net Position of Assets and Liabilities</t>
  </si>
  <si>
    <t>Current and Long-Term Assets</t>
  </si>
  <si>
    <t>Funds Available</t>
  </si>
  <si>
    <t>Interbank Investments</t>
  </si>
  <si>
    <t>Securities and Derivative Financial Instruments</t>
  </si>
  <si>
    <t>Interbank and Interdepartmental Accounts</t>
  </si>
  <si>
    <t>Loan and Leasing Operations</t>
  </si>
  <si>
    <t>Other Receivables and Other Assets</t>
  </si>
  <si>
    <t>Permanent Assets</t>
  </si>
  <si>
    <t>Premises and Equipment and Leased Assets</t>
  </si>
  <si>
    <t>Current and Long-Term Liabilities</t>
  </si>
  <si>
    <t xml:space="preserve">Federal funds Purchased and Securities Sold Under Agreements to Repurchase </t>
  </si>
  <si>
    <t>Funds from Issuance of Securities</t>
  </si>
  <si>
    <t>Derivative Financial Instruments</t>
  </si>
  <si>
    <t>Technical Provisions for Insurance, Private Pension Plans and Certificated Savings Plans</t>
  </si>
  <si>
    <t>Other Liabilities:</t>
  </si>
  <si>
    <t>- Subordinated Debts</t>
  </si>
  <si>
    <t>Deferred Income</t>
  </si>
  <si>
    <t>Minority Interest in Subsidiaries</t>
  </si>
  <si>
    <t>Trading Securities</t>
  </si>
  <si>
    <t>Available-for-Sale Securities</t>
  </si>
  <si>
    <t>Held-to-Maturity Securities</t>
  </si>
  <si>
    <t>Financial Treasury Bills</t>
  </si>
  <si>
    <t>National Treasury Bills</t>
  </si>
  <si>
    <t>National Treasury Notes</t>
  </si>
  <si>
    <t>Government Securities</t>
  </si>
  <si>
    <t>Brazilian Foreign Debt Securities</t>
  </si>
  <si>
    <t>Privatization Currencies</t>
  </si>
  <si>
    <t>Foreign Government Securities</t>
  </si>
  <si>
    <t>Private Securities</t>
  </si>
  <si>
    <t>Bank Deposit Certificates</t>
  </si>
  <si>
    <t>Foreign Corporate Securities</t>
  </si>
  <si>
    <t>Subject to PGBL / VGBL Products</t>
  </si>
  <si>
    <t>Risk Level</t>
  </si>
  <si>
    <t xml:space="preserve">Farming and Ranching, Fishing, Forestry and Forest Exploration  </t>
  </si>
  <si>
    <t>Micro / Small-and Medium-Sized Companies</t>
  </si>
  <si>
    <t>Tax Credits Net of Deferred Tax Liabilities</t>
  </si>
  <si>
    <t>Adjustment to Market Value of Available-for-Trading Securities</t>
  </si>
  <si>
    <t>(*) Managed Shareholders' Equity (-) Permanent Assets.</t>
  </si>
  <si>
    <t>NET INCOME</t>
  </si>
  <si>
    <t xml:space="preserve">TOTAL (2) </t>
  </si>
  <si>
    <t>(1) For more information, please see note 4 – Statement of Financial Position and Statement of Managerial Income, in chapter 6 of this Economic and Financial Analisys Report;</t>
  </si>
  <si>
    <t>Net Exchange Position (Liabilities)</t>
  </si>
  <si>
    <t>Capital adequacy Ratio (Basel)</t>
  </si>
  <si>
    <t>Coverage Ratio (in the previous 12 months)</t>
  </si>
  <si>
    <t>Performance Ratios (annualized)</t>
  </si>
  <si>
    <t>Investments in associates and jointly controlled:</t>
  </si>
  <si>
    <t>- Overseas</t>
  </si>
  <si>
    <t>Insurance and reinsurance receivables and reinsurance assets – technical provisions</t>
  </si>
  <si>
    <t>Adjusted Net Interest Income</t>
  </si>
  <si>
    <t>Adjusted Net Interest Income - R$ million</t>
  </si>
  <si>
    <t>Income from Insurance, Pension Plans and Capitalization Bonds</t>
  </si>
  <si>
    <t>Expense of Provision for Dubious Liquid Management Claims - R$ million</t>
  </si>
  <si>
    <t>Expense of Provision for Dubious Liquid Management Claims</t>
  </si>
  <si>
    <t>Consolidated Statement of Financial  - R$ million</t>
  </si>
  <si>
    <t>Consolidated Statement of Financial - Assets</t>
  </si>
  <si>
    <t>Consolidated Statement of Financial - Liabilities</t>
  </si>
  <si>
    <t>Consolidated Statement Income - R$ million</t>
  </si>
  <si>
    <t>Consolidated Statement Income</t>
  </si>
  <si>
    <t>Loan Operations (1)</t>
  </si>
  <si>
    <t xml:space="preserve">Provision for E-H-rated Loan Operations </t>
  </si>
  <si>
    <t xml:space="preserve">Provision for D-rated Loan Operations </t>
  </si>
  <si>
    <t>Index</t>
  </si>
  <si>
    <t>(4) As of January 2015, the Fixed Assets to Shareholders' Equity Ratio has been calculated based on the Prudential Conglomerate; and</t>
  </si>
  <si>
    <t>(5) Operational efficiency index without the effect of the impairment of Financial Assets.</t>
  </si>
  <si>
    <t>Cash Receipts of Payments Pending Settlement (2)</t>
  </si>
  <si>
    <t>Fiscal and social security (3)</t>
  </si>
  <si>
    <t>(3) As from March 2017, “Provisions for tax risks” were reclassified from “Other liabilities - Tax and social security” to “Other liabilities - Sundry",  in according to Bacen Circular Letter nº. 3,782/16.</t>
  </si>
  <si>
    <t>(2) As of September 2017, payment arrangement operations (Credit Cards) were reclassified from "Other Liabilities - Sundry" to "Interbank Accounts - Cash Receipts of Payments Pending Settlement", in according to Bacen Circular Letter nº. 3,828/17; and</t>
  </si>
  <si>
    <t>Others (1)</t>
  </si>
  <si>
    <t>(1) Primarily includes, BNDU expenses and discounts granted.</t>
  </si>
  <si>
    <t>(1) Tax credit on interest on shareholders' capital is recorded up to the allowed tax limit; and</t>
  </si>
  <si>
    <t xml:space="preserve">(3) Year-to-Date Recurring  Net Income. As of the first quarter of 2016, the Annualized Returns have been calculated on a linear basis and for the best effect of comparability, the previous periods have been readjusted up to the second quarter of 2014; </t>
  </si>
  <si>
    <t>Recurring Income Statement - R$ million</t>
  </si>
  <si>
    <t>Recurring Income Statement</t>
  </si>
  <si>
    <t>RECURRING NET INCOME</t>
  </si>
  <si>
    <t>(*) Operating efficiency ratio without the effect of impairment of financial assets.</t>
  </si>
  <si>
    <t>Efficiency Ratio (%) = (1/2) (*)</t>
  </si>
  <si>
    <t>1T07</t>
  </si>
  <si>
    <t>2T07</t>
  </si>
  <si>
    <t>3T07</t>
  </si>
  <si>
    <t>4T07</t>
  </si>
  <si>
    <t>1T08</t>
  </si>
  <si>
    <t>2T08</t>
  </si>
  <si>
    <t>3T08</t>
  </si>
  <si>
    <t>4T08</t>
  </si>
  <si>
    <t>1T09</t>
  </si>
  <si>
    <t>2T09</t>
  </si>
  <si>
    <t>3T09</t>
  </si>
  <si>
    <t>4T09</t>
  </si>
  <si>
    <t>1T10</t>
  </si>
  <si>
    <t>2T10</t>
  </si>
  <si>
    <t>3T10</t>
  </si>
  <si>
    <t>4T10</t>
  </si>
  <si>
    <t>1T11</t>
  </si>
  <si>
    <t>2T11</t>
  </si>
  <si>
    <t>3T11</t>
  </si>
  <si>
    <t>4T11</t>
  </si>
  <si>
    <t>1T12</t>
  </si>
  <si>
    <t>2T12</t>
  </si>
  <si>
    <t>3T12</t>
  </si>
  <si>
    <t>4T12</t>
  </si>
  <si>
    <t>1T13</t>
  </si>
  <si>
    <t>2T13</t>
  </si>
  <si>
    <t>3T13</t>
  </si>
  <si>
    <t>4T13</t>
  </si>
  <si>
    <t>1T14</t>
  </si>
  <si>
    <t>2T14</t>
  </si>
  <si>
    <t>3T14</t>
  </si>
  <si>
    <t>4T14</t>
  </si>
  <si>
    <t>1T15</t>
  </si>
  <si>
    <t>2T15</t>
  </si>
  <si>
    <t>4T15</t>
  </si>
  <si>
    <t>1T16</t>
  </si>
  <si>
    <t>2T16</t>
  </si>
  <si>
    <t>3T16</t>
  </si>
  <si>
    <t>4T16</t>
  </si>
  <si>
    <t>1T17</t>
  </si>
  <si>
    <t>2T17</t>
  </si>
  <si>
    <t>3T17</t>
  </si>
  <si>
    <t>4T17</t>
  </si>
  <si>
    <t>Insurance Writtens Premius, Pensions Plan Contribuitions and Capitalization Bond Income</t>
  </si>
  <si>
    <t>Premiums Earned from Insurance, Pension Plan Contribution and Capitalization Bond Income</t>
  </si>
  <si>
    <t>Capitalization Bond Draw s and Redemptions</t>
  </si>
  <si>
    <t>Selling Expenses</t>
  </si>
  <si>
    <t>General and Administrative Expenses</t>
  </si>
  <si>
    <t>Other Operating Income / Expenses</t>
  </si>
  <si>
    <t>Operating Income</t>
  </si>
  <si>
    <t>Equity Results</t>
  </si>
  <si>
    <t>Financial Results</t>
  </si>
  <si>
    <t>Income before Taxes and Profit Sharing</t>
  </si>
  <si>
    <t>Taxes and Contributions</t>
  </si>
  <si>
    <t>Profit Sharing</t>
  </si>
  <si>
    <t>Operating income of insurance, private pension plans and certificated savings plans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</si>
</sst>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1" formatCode="_(* #,##0_);_(* \(#,##0\);_(* &quot;-&quot;_);_(@_)"/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General_)"/>
    <numFmt numFmtId="167" formatCode="_(* #,##0.00_);_(* \(#,##0.00\);_(* &quot;-&quot;_);_(@_)"/>
    <numFmt numFmtId="168" formatCode="_(* #,##0_);_(* \(#,##0\);_(* &quot;-&quot;??_);_(@_)"/>
    <numFmt numFmtId="169" formatCode="_(* #,##0.0_);_(* \(#,##0.0\);_(* &quot;-&quot;_);_(@_)"/>
    <numFmt numFmtId="170" formatCode="@*."/>
    <numFmt numFmtId="171" formatCode="_(* #,##0.0_);_(* \(#,##0.0\);_(* &quot;-&quot;??_);_(@_)"/>
    <numFmt numFmtId="172" formatCode="0.0"/>
    <numFmt numFmtId="173" formatCode="#,##0.0_);[Red]\(#,##0.0\)"/>
    <numFmt numFmtId="174" formatCode="#,##0.0;\-#,##0.0"/>
    <numFmt numFmtId="175" formatCode="0\)"/>
    <numFmt numFmtId="176" formatCode="#,##0\ ;[Red]\(#,##0\);&quot;- &quot;"/>
    <numFmt numFmtId="177" formatCode="0.0%"/>
  </numFmts>
  <fonts count="76" x14ac:knownFonts="1"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sz val="9"/>
      <name val="Frutiger 45 Light"/>
      <family val="2"/>
    </font>
    <font>
      <b/>
      <sz val="9"/>
      <name val="Frutiger 45 Light"/>
      <family val="2"/>
    </font>
    <font>
      <b/>
      <sz val="14"/>
      <name val="Frutiger 45 Light"/>
      <family val="2"/>
    </font>
    <font>
      <b/>
      <sz val="10"/>
      <name val="Arial"/>
      <family val="2"/>
    </font>
    <font>
      <b/>
      <sz val="8"/>
      <name val="Frutiger 45 Light"/>
      <family val="2"/>
    </font>
    <font>
      <sz val="10"/>
      <name val="Frutiger 45 Light"/>
      <family val="2"/>
    </font>
    <font>
      <b/>
      <sz val="12"/>
      <name val="Frutiger 45 Light"/>
      <family val="2"/>
    </font>
    <font>
      <sz val="8"/>
      <name val="Frutiger 45 Light"/>
      <family val="2"/>
    </font>
    <font>
      <b/>
      <sz val="10"/>
      <name val="Frutiger 45 Light"/>
      <family val="2"/>
    </font>
    <font>
      <sz val="10"/>
      <name val="Arial"/>
      <family val="2"/>
    </font>
    <font>
      <u/>
      <sz val="10"/>
      <color indexed="12"/>
      <name val="Courier"/>
      <family val="3"/>
    </font>
    <font>
      <sz val="10"/>
      <name val="MS Sans Serif"/>
      <family val="2"/>
    </font>
    <font>
      <u/>
      <sz val="10"/>
      <name val="Frutiger 45 Light"/>
      <family val="2"/>
    </font>
    <font>
      <sz val="10"/>
      <name val="Times New Roman"/>
      <family val="1"/>
    </font>
    <font>
      <b/>
      <sz val="10"/>
      <name val="Times New Roman"/>
      <family val="1"/>
    </font>
    <font>
      <sz val="7"/>
      <name val="Frutiger 45 Light"/>
      <family val="2"/>
    </font>
    <font>
      <sz val="14"/>
      <name val="Frutiger 45 Light"/>
      <family val="2"/>
    </font>
    <font>
      <sz val="14"/>
      <color indexed="12"/>
      <name val="Frutiger 45 Light"/>
      <family val="2"/>
    </font>
    <font>
      <b/>
      <u/>
      <sz val="12"/>
      <color indexed="12"/>
      <name val="Arial"/>
      <family val="2"/>
    </font>
    <font>
      <b/>
      <sz val="9"/>
      <name val="Frutiger 45 Light"/>
      <family val="2"/>
    </font>
    <font>
      <b/>
      <u/>
      <sz val="8"/>
      <color indexed="12"/>
      <name val="Arial"/>
      <family val="2"/>
    </font>
    <font>
      <sz val="8"/>
      <color indexed="8"/>
      <name val="Frutiger 45 Light"/>
      <family val="2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name val="Frutiger 45 Light"/>
      <family val="2"/>
    </font>
    <font>
      <sz val="11"/>
      <color indexed="8"/>
      <name val="Arial"/>
      <family val="2"/>
    </font>
    <font>
      <b/>
      <sz val="14"/>
      <color indexed="8"/>
      <name val="Arial"/>
      <family val="2"/>
    </font>
    <font>
      <sz val="12"/>
      <color indexed="8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6"/>
      <color indexed="8"/>
      <name val="Arial"/>
      <family val="2"/>
    </font>
    <font>
      <u/>
      <sz val="12"/>
      <color indexed="12"/>
      <name val="Arial"/>
      <family val="2"/>
    </font>
    <font>
      <b/>
      <sz val="12"/>
      <name val="Arial"/>
      <family val="2"/>
    </font>
    <font>
      <b/>
      <sz val="20"/>
      <color indexed="10"/>
      <name val="Wingdings 3"/>
      <family val="1"/>
      <charset val="2"/>
    </font>
    <font>
      <u/>
      <sz val="9"/>
      <color indexed="12"/>
      <name val="Arial"/>
      <family val="2"/>
    </font>
    <font>
      <b/>
      <u/>
      <sz val="9"/>
      <color indexed="12"/>
      <name val="Arial"/>
      <family val="2"/>
    </font>
    <font>
      <b/>
      <sz val="9"/>
      <color indexed="8"/>
      <name val="Arial"/>
      <family val="2"/>
    </font>
    <font>
      <u val="singleAccounting"/>
      <sz val="9"/>
      <name val="Arial"/>
      <family val="2"/>
    </font>
    <font>
      <sz val="9"/>
      <color indexed="10"/>
      <name val="Arial"/>
      <family val="2"/>
    </font>
    <font>
      <sz val="9"/>
      <color indexed="8"/>
      <name val="Arial"/>
      <family val="2"/>
    </font>
    <font>
      <sz val="14"/>
      <color indexed="8"/>
      <name val="Arial"/>
      <family val="2"/>
    </font>
    <font>
      <sz val="10"/>
      <color indexed="8"/>
      <name val="Arial"/>
      <family val="2"/>
    </font>
    <font>
      <b/>
      <u/>
      <sz val="10"/>
      <color indexed="12"/>
      <name val="Arial"/>
      <family val="2"/>
    </font>
    <font>
      <sz val="11"/>
      <color theme="1"/>
      <name val="Calibri"/>
      <family val="2"/>
      <scheme val="minor"/>
    </font>
    <font>
      <b/>
      <u/>
      <sz val="12"/>
      <color rgb="FF222222"/>
      <name val="Arial"/>
      <family val="2"/>
    </font>
    <font>
      <sz val="10"/>
      <color theme="1"/>
      <name val="Calibri"/>
      <family val="2"/>
      <scheme val="minor"/>
    </font>
    <font>
      <b/>
      <sz val="16"/>
      <color rgb="FFFFFF00"/>
      <name val="Arial"/>
      <family val="2"/>
    </font>
    <font>
      <b/>
      <sz val="12"/>
      <color theme="1"/>
      <name val="Frutiger 45 Light"/>
      <family val="2"/>
    </font>
    <font>
      <b/>
      <sz val="9"/>
      <color theme="0"/>
      <name val="Arial"/>
      <family val="2"/>
    </font>
    <font>
      <b/>
      <sz val="9"/>
      <color rgb="FFFF0000"/>
      <name val="Arial"/>
      <family val="2"/>
    </font>
    <font>
      <b/>
      <sz val="9"/>
      <color theme="1"/>
      <name val="Arial"/>
      <family val="2"/>
    </font>
    <font>
      <sz val="9"/>
      <color theme="0"/>
      <name val="Arial"/>
      <family val="2"/>
    </font>
    <font>
      <b/>
      <sz val="9"/>
      <color theme="3" tint="-0.249977111117893"/>
      <name val="Arial"/>
      <family val="2"/>
    </font>
    <font>
      <sz val="9"/>
      <color theme="3" tint="-0.249977111117893"/>
      <name val="Arial"/>
      <family val="2"/>
    </font>
    <font>
      <sz val="9"/>
      <color theme="1"/>
      <name val="Arial"/>
      <family val="2"/>
    </font>
    <font>
      <b/>
      <sz val="12"/>
      <color theme="0"/>
      <name val="Arial"/>
      <family val="2"/>
    </font>
    <font>
      <b/>
      <sz val="8"/>
      <color rgb="FFFF0000"/>
      <name val="Arial"/>
      <family val="2"/>
    </font>
    <font>
      <b/>
      <sz val="16"/>
      <color theme="0"/>
      <name val="Arial"/>
      <family val="2"/>
    </font>
    <font>
      <b/>
      <sz val="10"/>
      <color rgb="FFFF0000"/>
      <name val="Arial"/>
      <family val="2"/>
    </font>
    <font>
      <b/>
      <sz val="9"/>
      <color theme="0"/>
      <name val="Frutiger 45 Light"/>
      <family val="2"/>
    </font>
    <font>
      <b/>
      <sz val="11"/>
      <color rgb="FFFF0000"/>
      <name val="Arial"/>
      <family val="2"/>
    </font>
    <font>
      <sz val="10"/>
      <name val="Courier"/>
    </font>
    <font>
      <sz val="10"/>
      <color theme="1" tint="0.14999847407452621"/>
      <name val="Arial"/>
      <family val="2"/>
    </font>
    <font>
      <u/>
      <sz val="9"/>
      <name val="Arial"/>
      <family val="2"/>
    </font>
    <font>
      <sz val="7"/>
      <name val="Arial"/>
      <family val="2"/>
    </font>
    <font>
      <b/>
      <sz val="5"/>
      <name val="Arial"/>
      <family val="2"/>
    </font>
    <font>
      <sz val="5"/>
      <name val="Arial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sz val="12"/>
      <color rgb="FF222222"/>
      <name val="Arial"/>
      <family val="2"/>
    </font>
    <font>
      <b/>
      <sz val="10"/>
      <color rgb="FFFF0000"/>
      <name val="Frutiger 45 Light"/>
      <family val="2"/>
    </font>
    <font>
      <sz val="9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0.34998626667073579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rgb="FFFF0000"/>
      </bottom>
      <diagonal/>
    </border>
    <border>
      <left/>
      <right style="medium">
        <color theme="0" tint="-0.24994659260841701"/>
      </right>
      <top/>
      <bottom/>
      <diagonal/>
    </border>
    <border>
      <left/>
      <right style="medium">
        <color theme="0" tint="-0.24994659260841701"/>
      </right>
      <top/>
      <bottom style="thick">
        <color rgb="FFFF0000"/>
      </bottom>
      <diagonal/>
    </border>
    <border>
      <left/>
      <right style="medium">
        <color theme="0" tint="-0.34998626667073579"/>
      </right>
      <top/>
      <bottom/>
      <diagonal/>
    </border>
    <border>
      <left/>
      <right style="medium">
        <color theme="0" tint="-0.34998626667073579"/>
      </right>
      <top/>
      <bottom style="thick">
        <color rgb="FFFF0000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ck">
        <color rgb="FFFF0000"/>
      </bottom>
      <diagonal/>
    </border>
  </borders>
  <cellStyleXfs count="3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0" fontId="12" fillId="0" borderId="0"/>
    <xf numFmtId="40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47" fillId="0" borderId="0" applyFont="0" applyFill="0" applyBorder="0" applyAlignment="0" applyProtection="0"/>
    <xf numFmtId="0" fontId="12" fillId="0" borderId="0"/>
    <xf numFmtId="0" fontId="1" fillId="0" borderId="0"/>
    <xf numFmtId="0" fontId="65" fillId="0" borderId="0"/>
    <xf numFmtId="43" fontId="1" fillId="0" borderId="0" applyFont="0" applyFill="0" applyBorder="0" applyAlignment="0" applyProtection="0"/>
    <xf numFmtId="40" fontId="14" fillId="0" borderId="0" applyFont="0" applyFill="0" applyBorder="0" applyAlignment="0" applyProtection="0"/>
    <xf numFmtId="0" fontId="1" fillId="0" borderId="0"/>
    <xf numFmtId="0" fontId="1" fillId="0" borderId="0"/>
  </cellStyleXfs>
  <cellXfs count="737">
    <xf numFmtId="0" fontId="0" fillId="0" borderId="0" xfId="0"/>
    <xf numFmtId="0" fontId="3" fillId="0" borderId="0" xfId="11" applyFont="1" applyFill="1" applyProtection="1"/>
    <xf numFmtId="0" fontId="4" fillId="0" borderId="0" xfId="11" applyNumberFormat="1" applyFont="1" applyFill="1" applyBorder="1" applyAlignment="1" applyProtection="1">
      <alignment horizontal="center" vertical="center"/>
    </xf>
    <xf numFmtId="0" fontId="3" fillId="0" borderId="0" xfId="11" applyFont="1" applyFill="1" applyAlignment="1" applyProtection="1">
      <alignment horizontal="center" vertical="center"/>
    </xf>
    <xf numFmtId="170" fontId="3" fillId="0" borderId="0" xfId="11" applyNumberFormat="1" applyFont="1" applyFill="1" applyAlignment="1" applyProtection="1">
      <alignment horizontal="left"/>
    </xf>
    <xf numFmtId="41" fontId="3" fillId="0" borderId="0" xfId="11" applyNumberFormat="1" applyFont="1" applyFill="1" applyBorder="1" applyAlignment="1" applyProtection="1"/>
    <xf numFmtId="0" fontId="3" fillId="0" borderId="0" xfId="11" quotePrefix="1" applyNumberFormat="1" applyFont="1" applyFill="1" applyAlignment="1" applyProtection="1">
      <alignment horizontal="left"/>
    </xf>
    <xf numFmtId="168" fontId="3" fillId="0" borderId="0" xfId="21" quotePrefix="1" applyNumberFormat="1" applyFont="1" applyFill="1" applyAlignment="1" applyProtection="1">
      <alignment horizontal="left"/>
    </xf>
    <xf numFmtId="168" fontId="3" fillId="0" borderId="0" xfId="21" applyNumberFormat="1" applyFont="1" applyFill="1" applyProtection="1"/>
    <xf numFmtId="171" fontId="3" fillId="0" borderId="0" xfId="21" applyNumberFormat="1" applyFont="1" applyFill="1" applyBorder="1" applyAlignment="1" applyProtection="1"/>
    <xf numFmtId="168" fontId="3" fillId="0" borderId="0" xfId="21" applyNumberFormat="1" applyFont="1" applyFill="1"/>
    <xf numFmtId="168" fontId="3" fillId="0" borderId="0" xfId="21" applyNumberFormat="1" applyFont="1" applyFill="1" applyAlignment="1" applyProtection="1">
      <alignment horizontal="left"/>
    </xf>
    <xf numFmtId="0" fontId="3" fillId="0" borderId="0" xfId="0" applyFont="1"/>
    <xf numFmtId="0" fontId="0" fillId="0" borderId="0" xfId="0" applyFill="1"/>
    <xf numFmtId="0" fontId="3" fillId="0" borderId="0" xfId="0" applyFont="1" applyAlignment="1"/>
    <xf numFmtId="0" fontId="3" fillId="0" borderId="0" xfId="0" applyFont="1" applyFill="1"/>
    <xf numFmtId="170" fontId="4" fillId="0" borderId="1" xfId="0" applyNumberFormat="1" applyFont="1" applyFill="1" applyBorder="1"/>
    <xf numFmtId="166" fontId="8" fillId="0" borderId="0" xfId="0" applyNumberFormat="1" applyFont="1" applyProtection="1"/>
    <xf numFmtId="166" fontId="5" fillId="0" borderId="0" xfId="0" quotePrefix="1" applyNumberFormat="1" applyFont="1" applyBorder="1" applyAlignment="1" applyProtection="1">
      <alignment horizontal="left"/>
    </xf>
    <xf numFmtId="170" fontId="3" fillId="0" borderId="0" xfId="0" quotePrefix="1" applyNumberFormat="1" applyFont="1" applyAlignment="1" applyProtection="1">
      <alignment horizontal="left"/>
    </xf>
    <xf numFmtId="37" fontId="3" fillId="0" borderId="0" xfId="0" quotePrefix="1" applyNumberFormat="1" applyFont="1" applyFill="1" applyAlignment="1" applyProtection="1">
      <alignment horizontal="left"/>
    </xf>
    <xf numFmtId="37" fontId="3" fillId="0" borderId="0" xfId="0" quotePrefix="1" applyNumberFormat="1" applyFont="1" applyAlignment="1" applyProtection="1">
      <alignment horizontal="left"/>
    </xf>
    <xf numFmtId="41" fontId="3" fillId="0" borderId="0" xfId="0" applyNumberFormat="1" applyFont="1" applyFill="1" applyProtection="1"/>
    <xf numFmtId="170" fontId="3" fillId="0" borderId="0" xfId="0" applyNumberFormat="1" applyFont="1" applyFill="1" applyAlignment="1" applyProtection="1">
      <alignment horizontal="left"/>
    </xf>
    <xf numFmtId="37" fontId="3" fillId="0" borderId="0" xfId="0" applyNumberFormat="1" applyFont="1" applyFill="1" applyAlignment="1" applyProtection="1">
      <alignment horizontal="left"/>
    </xf>
    <xf numFmtId="166" fontId="8" fillId="0" borderId="0" xfId="0" applyNumberFormat="1" applyFont="1" applyFill="1" applyProtection="1"/>
    <xf numFmtId="37" fontId="10" fillId="0" borderId="0" xfId="0" applyNumberFormat="1" applyFont="1" applyProtection="1"/>
    <xf numFmtId="41" fontId="3" fillId="0" borderId="0" xfId="0" applyNumberFormat="1" applyFont="1" applyProtection="1"/>
    <xf numFmtId="37" fontId="10" fillId="0" borderId="0" xfId="0" quotePrefix="1" applyNumberFormat="1" applyFont="1" applyAlignment="1" applyProtection="1">
      <alignment horizontal="left"/>
    </xf>
    <xf numFmtId="41" fontId="10" fillId="0" borderId="0" xfId="0" applyNumberFormat="1" applyFont="1" applyProtection="1"/>
    <xf numFmtId="41" fontId="7" fillId="0" borderId="0" xfId="0" applyNumberFormat="1" applyFont="1" applyProtection="1"/>
    <xf numFmtId="37" fontId="10" fillId="0" borderId="0" xfId="0" applyNumberFormat="1" applyFont="1" applyAlignment="1" applyProtection="1">
      <alignment horizontal="left"/>
    </xf>
    <xf numFmtId="37" fontId="10" fillId="0" borderId="0" xfId="0" applyNumberFormat="1" applyFont="1" applyFill="1" applyAlignment="1" applyProtection="1">
      <alignment horizontal="left"/>
    </xf>
    <xf numFmtId="37" fontId="10" fillId="0" borderId="0" xfId="0" quotePrefix="1" applyNumberFormat="1" applyFont="1" applyFill="1" applyAlignment="1" applyProtection="1">
      <alignment horizontal="left"/>
    </xf>
    <xf numFmtId="37" fontId="7" fillId="0" borderId="0" xfId="0" quotePrefix="1" applyNumberFormat="1" applyFont="1" applyAlignment="1" applyProtection="1">
      <alignment horizontal="left"/>
    </xf>
    <xf numFmtId="37" fontId="10" fillId="0" borderId="0" xfId="0" quotePrefix="1" applyNumberFormat="1" applyFont="1" applyBorder="1" applyAlignment="1" applyProtection="1">
      <alignment horizontal="left"/>
    </xf>
    <xf numFmtId="166" fontId="10" fillId="0" borderId="0" xfId="0" applyNumberFormat="1" applyFont="1" applyProtection="1"/>
    <xf numFmtId="166" fontId="16" fillId="0" borderId="0" xfId="0" applyNumberFormat="1" applyFont="1" applyAlignment="1">
      <alignment horizontal="right" wrapText="1"/>
    </xf>
    <xf numFmtId="166" fontId="17" fillId="0" borderId="0" xfId="0" applyNumberFormat="1" applyFont="1" applyAlignment="1">
      <alignment horizontal="right" wrapText="1"/>
    </xf>
    <xf numFmtId="0" fontId="18" fillId="0" borderId="0" xfId="0" applyFont="1"/>
    <xf numFmtId="0" fontId="19" fillId="0" borderId="0" xfId="0" quotePrefix="1" applyFont="1"/>
    <xf numFmtId="0" fontId="19" fillId="0" borderId="0" xfId="0" applyFont="1"/>
    <xf numFmtId="0" fontId="20" fillId="0" borderId="0" xfId="0" applyFont="1"/>
    <xf numFmtId="0" fontId="19" fillId="0" borderId="2" xfId="0" applyFont="1" applyBorder="1"/>
    <xf numFmtId="0" fontId="19" fillId="0" borderId="3" xfId="0" applyFont="1" applyBorder="1"/>
    <xf numFmtId="0" fontId="19" fillId="0" borderId="4" xfId="0" applyFont="1" applyBorder="1"/>
    <xf numFmtId="0" fontId="19" fillId="0" borderId="5" xfId="0" applyFont="1" applyBorder="1"/>
    <xf numFmtId="0" fontId="19" fillId="0" borderId="0" xfId="0" applyFont="1" applyBorder="1" applyAlignment="1">
      <alignment vertical="center" wrapText="1"/>
    </xf>
    <xf numFmtId="0" fontId="19" fillId="0" borderId="6" xfId="0" applyFont="1" applyBorder="1"/>
    <xf numFmtId="0" fontId="19" fillId="0" borderId="0" xfId="0" applyFont="1" applyBorder="1"/>
    <xf numFmtId="0" fontId="21" fillId="0" borderId="0" xfId="7" applyFont="1" applyBorder="1" applyAlignment="1" applyProtection="1">
      <alignment horizontal="center"/>
    </xf>
    <xf numFmtId="0" fontId="19" fillId="0" borderId="7" xfId="0" applyFont="1" applyBorder="1"/>
    <xf numFmtId="0" fontId="19" fillId="0" borderId="8" xfId="0" applyFont="1" applyBorder="1"/>
    <xf numFmtId="0" fontId="19" fillId="0" borderId="9" xfId="0" applyFont="1" applyBorder="1"/>
    <xf numFmtId="168" fontId="4" fillId="0" borderId="0" xfId="21" applyNumberFormat="1" applyFont="1" applyFill="1" applyAlignment="1" applyProtection="1">
      <alignment horizontal="right"/>
    </xf>
    <xf numFmtId="168" fontId="3" fillId="0" borderId="0" xfId="21" quotePrefix="1" applyNumberFormat="1" applyFont="1" applyFill="1" applyAlignment="1" applyProtection="1">
      <alignment horizontal="right"/>
    </xf>
    <xf numFmtId="37" fontId="4" fillId="0" borderId="0" xfId="0" applyNumberFormat="1" applyFont="1" applyFill="1" applyAlignment="1" applyProtection="1">
      <alignment horizontal="centerContinuous"/>
    </xf>
    <xf numFmtId="37" fontId="9" fillId="0" borderId="0" xfId="0" applyNumberFormat="1" applyFont="1" applyFill="1" applyAlignment="1" applyProtection="1">
      <alignment horizontal="centerContinuous"/>
    </xf>
    <xf numFmtId="37" fontId="10" fillId="0" borderId="0" xfId="0" applyNumberFormat="1" applyFont="1" applyFill="1" applyAlignment="1" applyProtection="1">
      <alignment horizontal="centerContinuous"/>
    </xf>
    <xf numFmtId="166" fontId="5" fillId="0" borderId="0" xfId="0" quotePrefix="1" applyNumberFormat="1" applyFont="1" applyFill="1" applyBorder="1" applyAlignment="1" applyProtection="1">
      <alignment horizontal="left"/>
    </xf>
    <xf numFmtId="168" fontId="4" fillId="0" borderId="0" xfId="21" quotePrefix="1" applyNumberFormat="1" applyFont="1" applyFill="1" applyAlignment="1" applyProtection="1">
      <alignment horizontal="right"/>
    </xf>
    <xf numFmtId="37" fontId="10" fillId="0" borderId="0" xfId="0" applyNumberFormat="1" applyFont="1" applyFill="1" applyProtection="1"/>
    <xf numFmtId="37" fontId="15" fillId="0" borderId="0" xfId="8" applyNumberFormat="1" applyFont="1" applyFill="1" applyAlignment="1" applyProtection="1">
      <alignment horizontal="right"/>
    </xf>
    <xf numFmtId="168" fontId="3" fillId="0" borderId="0" xfId="0" applyNumberFormat="1" applyFont="1"/>
    <xf numFmtId="41" fontId="7" fillId="0" borderId="0" xfId="0" applyNumberFormat="1" applyFont="1" applyFill="1" applyProtection="1"/>
    <xf numFmtId="166" fontId="10" fillId="0" borderId="0" xfId="0" applyNumberFormat="1" applyFont="1" applyFill="1" applyProtection="1"/>
    <xf numFmtId="41" fontId="10" fillId="0" borderId="0" xfId="0" applyNumberFormat="1" applyFont="1" applyFill="1" applyProtection="1"/>
    <xf numFmtId="0" fontId="8" fillId="0" borderId="0" xfId="6" applyFont="1" applyFill="1" applyProtection="1"/>
    <xf numFmtId="37" fontId="3" fillId="0" borderId="0" xfId="6" quotePrefix="1" applyNumberFormat="1" applyFont="1" applyFill="1" applyAlignment="1" applyProtection="1">
      <alignment horizontal="left"/>
    </xf>
    <xf numFmtId="41" fontId="3" fillId="0" borderId="0" xfId="6" applyNumberFormat="1" applyFont="1" applyFill="1" applyProtection="1"/>
    <xf numFmtId="37" fontId="10" fillId="0" borderId="0" xfId="6" applyNumberFormat="1" applyFont="1" applyFill="1" applyProtection="1"/>
    <xf numFmtId="0" fontId="10" fillId="0" borderId="0" xfId="6" applyFont="1" applyFill="1" applyProtection="1"/>
    <xf numFmtId="41" fontId="10" fillId="0" borderId="0" xfId="6" applyNumberFormat="1" applyFont="1" applyFill="1" applyProtection="1"/>
    <xf numFmtId="41" fontId="0" fillId="0" borderId="0" xfId="0" applyNumberFormat="1" applyFill="1"/>
    <xf numFmtId="168" fontId="0" fillId="0" borderId="0" xfId="21" applyNumberFormat="1" applyFont="1" applyFill="1"/>
    <xf numFmtId="0" fontId="12" fillId="0" borderId="0" xfId="0" applyFont="1" applyFill="1"/>
    <xf numFmtId="168" fontId="0" fillId="0" borderId="0" xfId="0" applyNumberFormat="1" applyFill="1"/>
    <xf numFmtId="43" fontId="0" fillId="0" borderId="0" xfId="21" applyFont="1"/>
    <xf numFmtId="168" fontId="10" fillId="0" borderId="0" xfId="21" applyNumberFormat="1" applyFont="1" applyFill="1" applyProtection="1"/>
    <xf numFmtId="0" fontId="18" fillId="0" borderId="0" xfId="11" applyNumberFormat="1" applyFont="1" applyFill="1" applyBorder="1" applyAlignment="1" applyProtection="1">
      <alignment horizontal="justify" wrapText="1"/>
    </xf>
    <xf numFmtId="0" fontId="23" fillId="0" borderId="0" xfId="7" applyFont="1" applyFill="1" applyAlignment="1" applyProtection="1">
      <alignment horizontal="right"/>
    </xf>
    <xf numFmtId="0" fontId="10" fillId="0" borderId="0" xfId="11" applyFont="1" applyFill="1" applyAlignment="1" applyProtection="1">
      <alignment horizontal="centerContinuous"/>
    </xf>
    <xf numFmtId="0" fontId="10" fillId="0" borderId="0" xfId="11" applyFont="1" applyFill="1" applyProtection="1"/>
    <xf numFmtId="0" fontId="24" fillId="0" borderId="0" xfId="11" applyFont="1" applyFill="1" applyAlignment="1" applyProtection="1">
      <alignment horizontal="left"/>
    </xf>
    <xf numFmtId="0" fontId="7" fillId="0" borderId="0" xfId="11" applyNumberFormat="1" applyFont="1" applyFill="1" applyAlignment="1" applyProtection="1">
      <alignment horizontal="centerContinuous"/>
    </xf>
    <xf numFmtId="0" fontId="7" fillId="2" borderId="0" xfId="10" quotePrefix="1" applyNumberFormat="1" applyFont="1" applyFill="1" applyBorder="1" applyAlignment="1" applyProtection="1">
      <alignment horizontal="left"/>
    </xf>
    <xf numFmtId="0" fontId="7" fillId="0" borderId="0" xfId="11" quotePrefix="1" applyNumberFormat="1" applyFont="1" applyFill="1" applyBorder="1" applyAlignment="1" applyProtection="1">
      <alignment horizontal="centerContinuous"/>
    </xf>
    <xf numFmtId="0" fontId="10" fillId="0" borderId="0" xfId="11" applyFont="1" applyFill="1" applyAlignment="1" applyProtection="1">
      <alignment horizontal="center" vertical="center"/>
    </xf>
    <xf numFmtId="0" fontId="7" fillId="0" borderId="0" xfId="11" applyFont="1" applyFill="1" applyProtection="1"/>
    <xf numFmtId="0" fontId="25" fillId="0" borderId="0" xfId="0" applyFont="1" applyFill="1"/>
    <xf numFmtId="0" fontId="25" fillId="0" borderId="0" xfId="0" applyFont="1"/>
    <xf numFmtId="168" fontId="25" fillId="0" borderId="0" xfId="21" applyNumberFormat="1" applyFont="1"/>
    <xf numFmtId="0" fontId="26" fillId="0" borderId="0" xfId="0" applyFont="1"/>
    <xf numFmtId="168" fontId="26" fillId="0" borderId="0" xfId="21" applyNumberFormat="1" applyFont="1"/>
    <xf numFmtId="0" fontId="3" fillId="0" borderId="0" xfId="11" applyNumberFormat="1" applyFont="1" applyFill="1" applyBorder="1" applyAlignment="1" applyProtection="1">
      <alignment horizontal="left" vertical="justify" wrapText="1"/>
    </xf>
    <xf numFmtId="0" fontId="26" fillId="0" borderId="0" xfId="0" applyFont="1" applyAlignment="1">
      <alignment vertical="justify" wrapText="1"/>
    </xf>
    <xf numFmtId="168" fontId="26" fillId="0" borderId="0" xfId="21" applyNumberFormat="1" applyFont="1" applyAlignment="1">
      <alignment vertical="justify" wrapText="1"/>
    </xf>
    <xf numFmtId="0" fontId="28" fillId="0" borderId="0" xfId="11" applyFont="1" applyFill="1" applyProtection="1"/>
    <xf numFmtId="170" fontId="28" fillId="0" borderId="0" xfId="11" applyNumberFormat="1" applyFont="1" applyFill="1" applyAlignment="1" applyProtection="1">
      <alignment horizontal="left"/>
    </xf>
    <xf numFmtId="0" fontId="28" fillId="0" borderId="0" xfId="0" applyFont="1"/>
    <xf numFmtId="41" fontId="26" fillId="0" borderId="0" xfId="0" applyNumberFormat="1" applyFont="1"/>
    <xf numFmtId="43" fontId="3" fillId="0" borderId="0" xfId="21" applyNumberFormat="1" applyFont="1" applyFill="1" applyAlignment="1" applyProtection="1">
      <alignment horizontal="left"/>
    </xf>
    <xf numFmtId="168" fontId="3" fillId="0" borderId="0" xfId="21" quotePrefix="1" applyNumberFormat="1" applyFont="1" applyAlignment="1" applyProtection="1">
      <alignment horizontal="right"/>
    </xf>
    <xf numFmtId="41" fontId="3" fillId="0" borderId="0" xfId="0" applyNumberFormat="1" applyFont="1" applyAlignment="1" applyProtection="1">
      <alignment horizontal="right"/>
    </xf>
    <xf numFmtId="37" fontId="3" fillId="0" borderId="0" xfId="0" quotePrefix="1" applyNumberFormat="1" applyFont="1" applyAlignment="1" applyProtection="1">
      <alignment horizontal="right"/>
    </xf>
    <xf numFmtId="0" fontId="29" fillId="0" borderId="0" xfId="0" applyFont="1" applyFill="1" applyBorder="1"/>
    <xf numFmtId="0" fontId="29" fillId="0" borderId="0" xfId="0" applyFont="1"/>
    <xf numFmtId="0" fontId="33" fillId="0" borderId="0" xfId="0" applyFont="1"/>
    <xf numFmtId="0" fontId="32" fillId="0" borderId="0" xfId="0" applyFont="1"/>
    <xf numFmtId="0" fontId="48" fillId="0" borderId="0" xfId="0" applyFont="1" applyFill="1" applyBorder="1" applyAlignment="1">
      <alignment vertical="top"/>
    </xf>
    <xf numFmtId="0" fontId="49" fillId="0" borderId="0" xfId="0" applyFont="1" applyAlignment="1">
      <alignment vertical="center"/>
    </xf>
    <xf numFmtId="0" fontId="31" fillId="0" borderId="0" xfId="0" applyFont="1" applyFill="1" applyBorder="1" applyAlignment="1">
      <alignment wrapText="1"/>
    </xf>
    <xf numFmtId="0" fontId="35" fillId="0" borderId="0" xfId="7" applyFont="1" applyAlignment="1" applyProtection="1">
      <alignment horizontal="center"/>
    </xf>
    <xf numFmtId="0" fontId="35" fillId="0" borderId="0" xfId="7" applyFont="1" applyAlignment="1" applyProtection="1"/>
    <xf numFmtId="0" fontId="21" fillId="0" borderId="0" xfId="7" applyFont="1" applyAlignment="1" applyProtection="1">
      <alignment horizontal="center"/>
    </xf>
    <xf numFmtId="0" fontId="36" fillId="0" borderId="0" xfId="0" applyFont="1"/>
    <xf numFmtId="0" fontId="50" fillId="0" borderId="0" xfId="0" applyFont="1" applyFill="1" applyAlignment="1">
      <alignment vertical="center"/>
    </xf>
    <xf numFmtId="0" fontId="26" fillId="0" borderId="0" xfId="0" applyFont="1" applyFill="1"/>
    <xf numFmtId="0" fontId="30" fillId="0" borderId="0" xfId="0" applyFont="1" applyFill="1" applyBorder="1" applyAlignment="1">
      <alignment vertical="center"/>
    </xf>
    <xf numFmtId="41" fontId="4" fillId="0" borderId="0" xfId="0" applyNumberFormat="1" applyFont="1" applyFill="1" applyAlignment="1" applyProtection="1">
      <alignment horizontal="right"/>
    </xf>
    <xf numFmtId="41" fontId="3" fillId="0" borderId="0" xfId="0" applyNumberFormat="1" applyFont="1" applyFill="1" applyAlignment="1" applyProtection="1">
      <alignment horizontal="right"/>
    </xf>
    <xf numFmtId="168" fontId="3" fillId="0" borderId="0" xfId="21" applyNumberFormat="1" applyFont="1" applyFill="1" applyBorder="1" applyAlignment="1">
      <alignment horizontal="right"/>
    </xf>
    <xf numFmtId="168" fontId="4" fillId="0" borderId="1" xfId="21" applyNumberFormat="1" applyFont="1" applyFill="1" applyBorder="1" applyAlignment="1">
      <alignment horizontal="right"/>
    </xf>
    <xf numFmtId="168" fontId="3" fillId="0" borderId="0" xfId="21" applyNumberFormat="1" applyFont="1" applyAlignment="1" applyProtection="1">
      <alignment horizontal="right"/>
    </xf>
    <xf numFmtId="41" fontId="4" fillId="0" borderId="0" xfId="0" applyNumberFormat="1" applyFont="1" applyAlignment="1" applyProtection="1">
      <alignment horizontal="right"/>
    </xf>
    <xf numFmtId="168" fontId="11" fillId="0" borderId="0" xfId="21" applyNumberFormat="1" applyFont="1" applyAlignment="1" applyProtection="1">
      <alignment horizontal="right"/>
    </xf>
    <xf numFmtId="37" fontId="11" fillId="0" borderId="0" xfId="0" applyNumberFormat="1" applyFont="1" applyAlignment="1" applyProtection="1">
      <alignment horizontal="right"/>
    </xf>
    <xf numFmtId="41" fontId="3" fillId="0" borderId="0" xfId="11" applyNumberFormat="1" applyFont="1" applyFill="1" applyBorder="1" applyAlignment="1" applyProtection="1">
      <alignment horizontal="right"/>
    </xf>
    <xf numFmtId="41" fontId="4" fillId="0" borderId="0" xfId="11" applyNumberFormat="1" applyFont="1" applyFill="1" applyBorder="1" applyAlignment="1" applyProtection="1">
      <alignment horizontal="right"/>
    </xf>
    <xf numFmtId="0" fontId="3" fillId="0" borderId="0" xfId="0" applyFont="1" applyFill="1" applyAlignment="1">
      <alignment horizontal="left" wrapText="1"/>
    </xf>
    <xf numFmtId="0" fontId="21" fillId="0" borderId="0" xfId="7" applyFont="1" applyAlignment="1" applyProtection="1">
      <alignment horizontal="center" vertical="center"/>
    </xf>
    <xf numFmtId="0" fontId="12" fillId="0" borderId="0" xfId="0" applyFont="1" applyFill="1" applyAlignment="1">
      <alignment horizontal="left" wrapText="1"/>
    </xf>
    <xf numFmtId="0" fontId="37" fillId="0" borderId="0" xfId="0" applyFont="1" applyAlignment="1">
      <alignment horizontal="right"/>
    </xf>
    <xf numFmtId="0" fontId="22" fillId="0" borderId="0" xfId="11" applyNumberFormat="1" applyFont="1" applyFill="1" applyBorder="1" applyAlignment="1" applyProtection="1">
      <alignment horizontal="right" vertical="center"/>
    </xf>
    <xf numFmtId="0" fontId="21" fillId="0" borderId="0" xfId="7" applyFont="1" applyBorder="1" applyAlignment="1" applyProtection="1">
      <alignment horizontal="center" vertical="center"/>
    </xf>
    <xf numFmtId="37" fontId="51" fillId="3" borderId="0" xfId="0" applyNumberFormat="1" applyFont="1" applyFill="1" applyAlignment="1" applyProtection="1">
      <alignment horizontal="centerContinuous"/>
    </xf>
    <xf numFmtId="37" fontId="10" fillId="3" borderId="0" xfId="0" applyNumberFormat="1" applyFont="1" applyFill="1" applyProtection="1"/>
    <xf numFmtId="37" fontId="10" fillId="3" borderId="0" xfId="0" applyNumberFormat="1" applyFont="1" applyFill="1" applyBorder="1" applyProtection="1"/>
    <xf numFmtId="37" fontId="10" fillId="3" borderId="10" xfId="0" applyNumberFormat="1" applyFont="1" applyFill="1" applyBorder="1" applyProtection="1"/>
    <xf numFmtId="170" fontId="26" fillId="0" borderId="0" xfId="0" quotePrefix="1" applyNumberFormat="1" applyFont="1" applyFill="1" applyAlignment="1" applyProtection="1">
      <alignment horizontal="left"/>
    </xf>
    <xf numFmtId="41" fontId="26" fillId="0" borderId="0" xfId="0" applyNumberFormat="1" applyFont="1" applyFill="1" applyProtection="1"/>
    <xf numFmtId="37" fontId="26" fillId="0" borderId="0" xfId="0" quotePrefix="1" applyNumberFormat="1" applyFont="1" applyFill="1" applyAlignment="1" applyProtection="1">
      <alignment horizontal="right"/>
    </xf>
    <xf numFmtId="168" fontId="26" fillId="0" borderId="0" xfId="23" quotePrefix="1" applyNumberFormat="1" applyFont="1" applyFill="1" applyAlignment="1" applyProtection="1">
      <alignment horizontal="left"/>
    </xf>
    <xf numFmtId="37" fontId="26" fillId="0" borderId="0" xfId="0" quotePrefix="1" applyNumberFormat="1" applyFont="1" applyFill="1" applyAlignment="1" applyProtection="1">
      <alignment horizontal="left"/>
    </xf>
    <xf numFmtId="166" fontId="26" fillId="0" borderId="0" xfId="0" applyNumberFormat="1" applyFont="1" applyProtection="1"/>
    <xf numFmtId="170" fontId="27" fillId="0" borderId="0" xfId="0" quotePrefix="1" applyNumberFormat="1" applyFont="1" applyFill="1" applyAlignment="1" applyProtection="1">
      <alignment horizontal="left"/>
    </xf>
    <xf numFmtId="41" fontId="26" fillId="0" borderId="0" xfId="0" applyNumberFormat="1" applyFont="1" applyFill="1" applyBorder="1" applyProtection="1"/>
    <xf numFmtId="37" fontId="26" fillId="0" borderId="0" xfId="0" quotePrefix="1" applyNumberFormat="1" applyFont="1" applyFill="1" applyBorder="1" applyAlignment="1" applyProtection="1">
      <alignment horizontal="right"/>
    </xf>
    <xf numFmtId="168" fontId="26" fillId="0" borderId="0" xfId="23" quotePrefix="1" applyNumberFormat="1" applyFont="1" applyFill="1" applyBorder="1" applyAlignment="1" applyProtection="1">
      <alignment horizontal="left"/>
    </xf>
    <xf numFmtId="166" fontId="26" fillId="0" borderId="0" xfId="0" applyNumberFormat="1" applyFont="1" applyBorder="1" applyProtection="1"/>
    <xf numFmtId="0" fontId="38" fillId="0" borderId="0" xfId="7" applyFont="1" applyBorder="1" applyAlignment="1" applyProtection="1">
      <alignment horizontal="center"/>
    </xf>
    <xf numFmtId="37" fontId="27" fillId="0" borderId="0" xfId="0" applyNumberFormat="1" applyFont="1" applyFill="1" applyBorder="1" applyAlignment="1" applyProtection="1">
      <alignment vertical="center"/>
    </xf>
    <xf numFmtId="0" fontId="26" fillId="0" borderId="0" xfId="0" applyNumberFormat="1" applyFont="1" applyAlignment="1" applyProtection="1">
      <alignment horizontal="center" vertical="center"/>
    </xf>
    <xf numFmtId="0" fontId="27" fillId="0" borderId="0" xfId="0" applyNumberFormat="1" applyFont="1" applyBorder="1" applyAlignment="1" applyProtection="1">
      <alignment horizontal="center" vertical="center"/>
    </xf>
    <xf numFmtId="0" fontId="27" fillId="0" borderId="0" xfId="0" applyNumberFormat="1" applyFont="1" applyBorder="1" applyAlignment="1" applyProtection="1">
      <alignment vertical="center"/>
    </xf>
    <xf numFmtId="0" fontId="52" fillId="4" borderId="0" xfId="0" applyNumberFormat="1" applyFont="1" applyFill="1" applyBorder="1" applyAlignment="1" applyProtection="1">
      <alignment horizontal="center" vertical="center"/>
    </xf>
    <xf numFmtId="49" fontId="52" fillId="4" borderId="0" xfId="0" applyNumberFormat="1" applyFont="1" applyFill="1" applyBorder="1" applyAlignment="1" applyProtection="1">
      <alignment horizontal="center" vertical="center"/>
    </xf>
    <xf numFmtId="37" fontId="53" fillId="5" borderId="0" xfId="0" applyNumberFormat="1" applyFont="1" applyFill="1" applyAlignment="1" applyProtection="1">
      <alignment horizontal="left"/>
    </xf>
    <xf numFmtId="49" fontId="27" fillId="5" borderId="0" xfId="0" applyNumberFormat="1" applyFont="1" applyFill="1" applyBorder="1" applyAlignment="1" applyProtection="1">
      <alignment horizontal="center"/>
    </xf>
    <xf numFmtId="37" fontId="27" fillId="0" borderId="0" xfId="0" applyNumberFormat="1" applyFont="1" applyFill="1" applyAlignment="1" applyProtection="1">
      <alignment horizontal="left"/>
    </xf>
    <xf numFmtId="41" fontId="27" fillId="0" borderId="0" xfId="0" applyNumberFormat="1" applyFont="1" applyFill="1" applyAlignment="1" applyProtection="1">
      <alignment horizontal="right"/>
    </xf>
    <xf numFmtId="168" fontId="27" fillId="0" borderId="0" xfId="23" applyNumberFormat="1" applyFont="1" applyFill="1" applyAlignment="1" applyProtection="1">
      <alignment horizontal="right"/>
    </xf>
    <xf numFmtId="168" fontId="27" fillId="0" borderId="0" xfId="23" applyNumberFormat="1" applyFont="1" applyFill="1" applyBorder="1" applyAlignment="1" applyProtection="1">
      <alignment horizontal="right"/>
    </xf>
    <xf numFmtId="168" fontId="27" fillId="6" borderId="0" xfId="23" applyNumberFormat="1" applyFont="1" applyFill="1" applyAlignment="1" applyProtection="1">
      <alignment horizontal="right"/>
    </xf>
    <xf numFmtId="166" fontId="26" fillId="0" borderId="0" xfId="0" applyNumberFormat="1" applyFont="1" applyFill="1" applyProtection="1"/>
    <xf numFmtId="41" fontId="26" fillId="0" borderId="0" xfId="0" applyNumberFormat="1" applyFont="1" applyFill="1" applyAlignment="1" applyProtection="1">
      <alignment horizontal="right"/>
    </xf>
    <xf numFmtId="168" fontId="26" fillId="0" borderId="0" xfId="23" quotePrefix="1" applyNumberFormat="1" applyFont="1" applyFill="1" applyAlignment="1" applyProtection="1">
      <alignment horizontal="right"/>
    </xf>
    <xf numFmtId="168" fontId="26" fillId="6" borderId="0" xfId="23" quotePrefix="1" applyNumberFormat="1" applyFont="1" applyFill="1" applyAlignment="1" applyProtection="1">
      <alignment horizontal="right"/>
    </xf>
    <xf numFmtId="41" fontId="26" fillId="0" borderId="0" xfId="0" applyNumberFormat="1" applyFont="1" applyFill="1" applyBorder="1" applyAlignment="1" applyProtection="1">
      <alignment horizontal="right"/>
    </xf>
    <xf numFmtId="37" fontId="26" fillId="0" borderId="0" xfId="0" applyNumberFormat="1" applyFont="1" applyFill="1" applyAlignment="1" applyProtection="1">
      <alignment horizontal="left"/>
    </xf>
    <xf numFmtId="168" fontId="26" fillId="0" borderId="0" xfId="23" applyNumberFormat="1" applyFont="1" applyFill="1" applyAlignment="1" applyProtection="1">
      <alignment horizontal="right"/>
    </xf>
    <xf numFmtId="37" fontId="26" fillId="0" borderId="0" xfId="0" applyNumberFormat="1" applyFont="1" applyFill="1" applyAlignment="1" applyProtection="1">
      <alignment horizontal="right"/>
    </xf>
    <xf numFmtId="170" fontId="26" fillId="0" borderId="0" xfId="0" applyNumberFormat="1" applyFont="1" applyFill="1" applyAlignment="1" applyProtection="1">
      <alignment horizontal="left"/>
    </xf>
    <xf numFmtId="170" fontId="27" fillId="0" borderId="0" xfId="0" applyNumberFormat="1" applyFont="1" applyFill="1" applyAlignment="1" applyProtection="1">
      <alignment horizontal="left"/>
    </xf>
    <xf numFmtId="168" fontId="27" fillId="0" borderId="0" xfId="23" quotePrefix="1" applyNumberFormat="1" applyFont="1" applyFill="1" applyAlignment="1" applyProtection="1">
      <alignment horizontal="right"/>
    </xf>
    <xf numFmtId="170" fontId="53" fillId="5" borderId="11" xfId="0" applyNumberFormat="1" applyFont="1" applyFill="1" applyBorder="1" applyAlignment="1" applyProtection="1">
      <alignment horizontal="left"/>
    </xf>
    <xf numFmtId="168" fontId="27" fillId="5" borderId="11" xfId="23" applyNumberFormat="1" applyFont="1" applyFill="1" applyBorder="1" applyAlignment="1" applyProtection="1">
      <alignment horizontal="center"/>
    </xf>
    <xf numFmtId="37" fontId="27" fillId="0" borderId="0" xfId="0" applyNumberFormat="1" applyFont="1" applyFill="1" applyBorder="1" applyAlignment="1" applyProtection="1">
      <alignment horizontal="centerContinuous"/>
    </xf>
    <xf numFmtId="166" fontId="26" fillId="0" borderId="0" xfId="0" applyNumberFormat="1" applyFont="1" applyFill="1" applyBorder="1" applyProtection="1"/>
    <xf numFmtId="37" fontId="27" fillId="0" borderId="0" xfId="0" applyNumberFormat="1" applyFont="1" applyFill="1" applyAlignment="1" applyProtection="1">
      <alignment horizontal="centerContinuous"/>
    </xf>
    <xf numFmtId="166" fontId="27" fillId="0" borderId="0" xfId="0" quotePrefix="1" applyNumberFormat="1" applyFont="1" applyFill="1" applyBorder="1" applyAlignment="1" applyProtection="1">
      <alignment horizontal="left"/>
    </xf>
    <xf numFmtId="166" fontId="27" fillId="0" borderId="0" xfId="0" applyNumberFormat="1" applyFont="1" applyFill="1" applyBorder="1" applyAlignment="1" applyProtection="1">
      <alignment horizontal="right"/>
    </xf>
    <xf numFmtId="0" fontId="55" fillId="4" borderId="0" xfId="0" applyNumberFormat="1" applyFont="1" applyFill="1" applyBorder="1" applyAlignment="1" applyProtection="1">
      <alignment horizontal="center" vertical="center"/>
    </xf>
    <xf numFmtId="0" fontId="26" fillId="0" borderId="0" xfId="0" applyNumberFormat="1" applyFont="1" applyBorder="1" applyAlignment="1" applyProtection="1">
      <alignment horizontal="center" vertical="center"/>
    </xf>
    <xf numFmtId="37" fontId="53" fillId="5" borderId="0" xfId="0" applyNumberFormat="1" applyFont="1" applyFill="1" applyBorder="1" applyAlignment="1" applyProtection="1">
      <alignment horizontal="left"/>
    </xf>
    <xf numFmtId="168" fontId="26" fillId="0" borderId="0" xfId="23" quotePrefix="1" applyNumberFormat="1" applyFont="1" applyFill="1" applyBorder="1" applyAlignment="1" applyProtection="1">
      <alignment horizontal="right"/>
    </xf>
    <xf numFmtId="37" fontId="26" fillId="0" borderId="0" xfId="0" applyNumberFormat="1" applyFont="1" applyFill="1" applyProtection="1"/>
    <xf numFmtId="37" fontId="26" fillId="0" borderId="0" xfId="0" quotePrefix="1" applyNumberFormat="1" applyFont="1" applyFill="1" applyAlignment="1" applyProtection="1">
      <alignment horizontal="left" wrapText="1"/>
    </xf>
    <xf numFmtId="37" fontId="26" fillId="0" borderId="0" xfId="0" applyNumberFormat="1" applyFont="1" applyProtection="1"/>
    <xf numFmtId="168" fontId="3" fillId="6" borderId="0" xfId="21" quotePrefix="1" applyNumberFormat="1" applyFont="1" applyFill="1" applyAlignment="1" applyProtection="1">
      <alignment horizontal="right"/>
    </xf>
    <xf numFmtId="49" fontId="6" fillId="0" borderId="11" xfId="0" quotePrefix="1" applyNumberFormat="1" applyFont="1" applyFill="1" applyBorder="1" applyAlignment="1" applyProtection="1">
      <alignment horizontal="left"/>
    </xf>
    <xf numFmtId="49" fontId="27" fillId="0" borderId="0" xfId="0" applyNumberFormat="1" applyFont="1" applyFill="1" applyBorder="1" applyAlignment="1" applyProtection="1">
      <alignment horizontal="center"/>
    </xf>
    <xf numFmtId="166" fontId="12" fillId="0" borderId="0" xfId="0" applyNumberFormat="1" applyFont="1" applyProtection="1"/>
    <xf numFmtId="168" fontId="27" fillId="0" borderId="0" xfId="23" applyNumberFormat="1" applyFont="1" applyFill="1" applyBorder="1" applyAlignment="1" applyProtection="1">
      <alignment horizontal="center"/>
    </xf>
    <xf numFmtId="37" fontId="10" fillId="0" borderId="0" xfId="0" applyNumberFormat="1" applyFont="1" applyFill="1" applyBorder="1" applyProtection="1"/>
    <xf numFmtId="49" fontId="52" fillId="4" borderId="0" xfId="0" applyNumberFormat="1" applyFont="1" applyFill="1" applyBorder="1" applyAlignment="1" applyProtection="1">
      <alignment horizontal="center" vertical="center"/>
    </xf>
    <xf numFmtId="168" fontId="26" fillId="0" borderId="0" xfId="21" applyNumberFormat="1" applyFont="1" applyFill="1" applyAlignment="1" applyProtection="1">
      <alignment horizontal="right"/>
    </xf>
    <xf numFmtId="168" fontId="26" fillId="2" borderId="0" xfId="21" applyNumberFormat="1" applyFont="1" applyFill="1" applyAlignment="1" applyProtection="1">
      <alignment horizontal="right"/>
    </xf>
    <xf numFmtId="166" fontId="8" fillId="0" borderId="0" xfId="0" applyNumberFormat="1" applyFont="1" applyFill="1" applyBorder="1" applyProtection="1"/>
    <xf numFmtId="0" fontId="21" fillId="0" borderId="0" xfId="7" applyFont="1" applyFill="1" applyAlignment="1" applyProtection="1">
      <alignment horizontal="center"/>
    </xf>
    <xf numFmtId="168" fontId="26" fillId="6" borderId="0" xfId="21" applyNumberFormat="1" applyFont="1" applyFill="1" applyAlignment="1" applyProtection="1">
      <alignment horizontal="right"/>
    </xf>
    <xf numFmtId="168" fontId="4" fillId="6" borderId="0" xfId="21" quotePrefix="1" applyNumberFormat="1" applyFont="1" applyFill="1" applyAlignment="1" applyProtection="1">
      <alignment horizontal="right"/>
    </xf>
    <xf numFmtId="0" fontId="1" fillId="0" borderId="0" xfId="0" applyFont="1" applyBorder="1" applyAlignment="1">
      <alignment vertical="center"/>
    </xf>
    <xf numFmtId="37" fontId="27" fillId="0" borderId="0" xfId="0" applyNumberFormat="1" applyFont="1" applyFill="1" applyBorder="1" applyAlignment="1" applyProtection="1">
      <alignment horizontal="left"/>
    </xf>
    <xf numFmtId="0" fontId="39" fillId="0" borderId="0" xfId="7" applyFont="1" applyBorder="1" applyAlignment="1" applyProtection="1">
      <alignment horizontal="right" vertical="center"/>
    </xf>
    <xf numFmtId="37" fontId="27" fillId="0" borderId="0" xfId="0" applyNumberFormat="1" applyFont="1" applyAlignment="1" applyProtection="1">
      <alignment horizontal="left"/>
    </xf>
    <xf numFmtId="37" fontId="26" fillId="0" borderId="0" xfId="0" quotePrefix="1" applyNumberFormat="1" applyFont="1" applyAlignment="1" applyProtection="1">
      <alignment horizontal="left"/>
    </xf>
    <xf numFmtId="168" fontId="26" fillId="0" borderId="0" xfId="21" quotePrefix="1" applyNumberFormat="1" applyFont="1" applyAlignment="1" applyProtection="1">
      <alignment horizontal="right"/>
    </xf>
    <xf numFmtId="168" fontId="26" fillId="6" borderId="0" xfId="21" quotePrefix="1" applyNumberFormat="1" applyFont="1" applyFill="1" applyAlignment="1" applyProtection="1">
      <alignment horizontal="right"/>
    </xf>
    <xf numFmtId="170" fontId="27" fillId="0" borderId="0" xfId="0" quotePrefix="1" applyNumberFormat="1" applyFont="1" applyAlignment="1" applyProtection="1">
      <alignment horizontal="left"/>
    </xf>
    <xf numFmtId="168" fontId="27" fillId="0" borderId="0" xfId="21" quotePrefix="1" applyNumberFormat="1" applyFont="1" applyFill="1" applyAlignment="1" applyProtection="1">
      <alignment horizontal="right"/>
    </xf>
    <xf numFmtId="168" fontId="27" fillId="0" borderId="0" xfId="21" applyNumberFormat="1" applyFont="1" applyFill="1" applyAlignment="1" applyProtection="1">
      <alignment horizontal="right"/>
    </xf>
    <xf numFmtId="168" fontId="27" fillId="6" borderId="0" xfId="21" applyNumberFormat="1" applyFont="1" applyFill="1" applyAlignment="1" applyProtection="1">
      <alignment horizontal="right"/>
    </xf>
    <xf numFmtId="170" fontId="26" fillId="0" borderId="0" xfId="0" quotePrefix="1" applyNumberFormat="1" applyFont="1" applyAlignment="1" applyProtection="1">
      <alignment horizontal="left"/>
    </xf>
    <xf numFmtId="168" fontId="26" fillId="0" borderId="0" xfId="21" quotePrefix="1" applyNumberFormat="1" applyFont="1" applyFill="1" applyAlignment="1" applyProtection="1">
      <alignment horizontal="right"/>
    </xf>
    <xf numFmtId="167" fontId="26" fillId="0" borderId="0" xfId="0" applyNumberFormat="1" applyFont="1" applyFill="1" applyAlignment="1" applyProtection="1">
      <alignment horizontal="right"/>
    </xf>
    <xf numFmtId="37" fontId="4" fillId="0" borderId="0" xfId="0" applyNumberFormat="1" applyFont="1" applyFill="1" applyBorder="1" applyAlignment="1" applyProtection="1">
      <alignment horizontal="centerContinuous"/>
    </xf>
    <xf numFmtId="37" fontId="9" fillId="0" borderId="0" xfId="0" applyNumberFormat="1" applyFont="1" applyFill="1" applyBorder="1" applyAlignment="1" applyProtection="1">
      <alignment horizontal="centerContinuous"/>
    </xf>
    <xf numFmtId="37" fontId="10" fillId="0" borderId="0" xfId="0" applyNumberFormat="1" applyFont="1" applyFill="1" applyBorder="1" applyAlignment="1" applyProtection="1">
      <alignment horizontal="centerContinuous"/>
    </xf>
    <xf numFmtId="41" fontId="27" fillId="6" borderId="0" xfId="0" applyNumberFormat="1" applyFont="1" applyFill="1" applyAlignment="1" applyProtection="1">
      <alignment horizontal="right"/>
    </xf>
    <xf numFmtId="41" fontId="26" fillId="6" borderId="0" xfId="0" applyNumberFormat="1" applyFont="1" applyFill="1" applyAlignment="1" applyProtection="1">
      <alignment horizontal="right"/>
    </xf>
    <xf numFmtId="49" fontId="27" fillId="0" borderId="0" xfId="0" applyNumberFormat="1" applyFont="1" applyBorder="1" applyAlignment="1" applyProtection="1">
      <alignment horizontal="center" vertical="center"/>
    </xf>
    <xf numFmtId="173" fontId="26" fillId="0" borderId="0" xfId="20" applyNumberFormat="1" applyFont="1" applyAlignment="1" applyProtection="1">
      <alignment horizontal="center"/>
    </xf>
    <xf numFmtId="169" fontId="26" fillId="0" borderId="0" xfId="0" applyNumberFormat="1" applyFont="1" applyFill="1" applyAlignment="1" applyProtection="1">
      <alignment horizontal="right"/>
    </xf>
    <xf numFmtId="41" fontId="26" fillId="0" borderId="0" xfId="0" applyNumberFormat="1" applyFont="1" applyProtection="1"/>
    <xf numFmtId="37" fontId="51" fillId="0" borderId="0" xfId="0" applyNumberFormat="1" applyFont="1" applyFill="1" applyBorder="1" applyAlignment="1" applyProtection="1">
      <alignment horizontal="centerContinuous"/>
    </xf>
    <xf numFmtId="170" fontId="26" fillId="0" borderId="0" xfId="11" applyNumberFormat="1" applyFont="1" applyFill="1" applyAlignment="1" applyProtection="1">
      <alignment horizontal="left"/>
    </xf>
    <xf numFmtId="41" fontId="26" fillId="0" borderId="0" xfId="11" applyNumberFormat="1" applyFont="1" applyFill="1" applyBorder="1" applyAlignment="1" applyProtection="1">
      <alignment horizontal="right"/>
    </xf>
    <xf numFmtId="0" fontId="26" fillId="0" borderId="0" xfId="11" applyFont="1" applyFill="1" applyProtection="1"/>
    <xf numFmtId="170" fontId="27" fillId="0" borderId="0" xfId="11" applyNumberFormat="1" applyFont="1" applyFill="1" applyAlignment="1" applyProtection="1">
      <alignment horizontal="left"/>
    </xf>
    <xf numFmtId="41" fontId="27" fillId="0" borderId="0" xfId="11" applyNumberFormat="1" applyFont="1" applyFill="1" applyBorder="1" applyAlignment="1" applyProtection="1">
      <alignment horizontal="right"/>
    </xf>
    <xf numFmtId="168" fontId="27" fillId="0" borderId="0" xfId="21" applyNumberFormat="1" applyFont="1" applyFill="1" applyBorder="1" applyAlignment="1" applyProtection="1">
      <alignment horizontal="right"/>
    </xf>
    <xf numFmtId="0" fontId="27" fillId="0" borderId="0" xfId="11" applyFont="1" applyFill="1" applyProtection="1"/>
    <xf numFmtId="37" fontId="53" fillId="5" borderId="0" xfId="0" applyNumberFormat="1" applyFont="1" applyFill="1" applyBorder="1" applyAlignment="1" applyProtection="1">
      <alignment horizontal="center"/>
    </xf>
    <xf numFmtId="0" fontId="22" fillId="0" borderId="0" xfId="11" applyNumberFormat="1" applyFont="1" applyFill="1" applyBorder="1" applyAlignment="1" applyProtection="1">
      <alignment horizontal="left" vertical="center"/>
    </xf>
    <xf numFmtId="0" fontId="22" fillId="0" borderId="0" xfId="11" applyNumberFormat="1" applyFont="1" applyFill="1" applyBorder="1" applyAlignment="1" applyProtection="1">
      <alignment horizontal="centerContinuous" vertical="center"/>
    </xf>
    <xf numFmtId="0" fontId="28" fillId="0" borderId="0" xfId="11" applyFont="1" applyFill="1" applyBorder="1" applyProtection="1"/>
    <xf numFmtId="168" fontId="26" fillId="0" borderId="0" xfId="21" applyNumberFormat="1" applyFont="1" applyFill="1" applyBorder="1" applyAlignment="1" applyProtection="1">
      <alignment horizontal="right"/>
    </xf>
    <xf numFmtId="41" fontId="26" fillId="0" borderId="0" xfId="0" applyNumberFormat="1" applyFont="1" applyFill="1" applyAlignment="1">
      <alignment horizontal="right"/>
    </xf>
    <xf numFmtId="168" fontId="27" fillId="7" borderId="0" xfId="21" applyNumberFormat="1" applyFont="1" applyFill="1" applyBorder="1" applyAlignment="1" applyProtection="1">
      <alignment horizontal="right"/>
    </xf>
    <xf numFmtId="168" fontId="26" fillId="7" borderId="0" xfId="21" applyNumberFormat="1" applyFont="1" applyFill="1" applyAlignment="1" applyProtection="1">
      <alignment horizontal="right"/>
    </xf>
    <xf numFmtId="0" fontId="3" fillId="0" borderId="0" xfId="11" applyFont="1" applyFill="1" applyBorder="1" applyProtection="1"/>
    <xf numFmtId="0" fontId="26" fillId="0" borderId="0" xfId="11" applyFont="1" applyFill="1" applyBorder="1" applyProtection="1"/>
    <xf numFmtId="0" fontId="26" fillId="0" borderId="0" xfId="0" applyNumberFormat="1" applyFont="1" applyFill="1" applyBorder="1" applyAlignment="1" applyProtection="1">
      <alignment horizontal="center" vertical="center"/>
    </xf>
    <xf numFmtId="168" fontId="12" fillId="0" borderId="0" xfId="21" applyNumberFormat="1" applyFont="1" applyAlignment="1">
      <alignment horizontal="right"/>
    </xf>
    <xf numFmtId="9" fontId="12" fillId="0" borderId="0" xfId="12" applyFont="1" applyAlignment="1">
      <alignment horizontal="right"/>
    </xf>
    <xf numFmtId="0" fontId="12" fillId="0" borderId="0" xfId="0" applyFont="1"/>
    <xf numFmtId="170" fontId="26" fillId="0" borderId="0" xfId="11" applyNumberFormat="1" applyFont="1" applyFill="1" applyAlignment="1" applyProtection="1">
      <alignment horizontal="right"/>
    </xf>
    <xf numFmtId="0" fontId="4" fillId="0" borderId="0" xfId="11" applyNumberFormat="1" applyFont="1" applyFill="1" applyBorder="1" applyAlignment="1" applyProtection="1">
      <alignment vertical="center" wrapText="1"/>
    </xf>
    <xf numFmtId="170" fontId="26" fillId="0" borderId="0" xfId="6" applyNumberFormat="1" applyFont="1" applyFill="1" applyAlignment="1" applyProtection="1">
      <alignment horizontal="left"/>
    </xf>
    <xf numFmtId="41" fontId="26" fillId="0" borderId="0" xfId="6" applyNumberFormat="1" applyFont="1" applyFill="1" applyAlignment="1" applyProtection="1">
      <alignment horizontal="right"/>
    </xf>
    <xf numFmtId="0" fontId="12" fillId="0" borderId="0" xfId="6" applyFont="1" applyFill="1" applyProtection="1"/>
    <xf numFmtId="37" fontId="26" fillId="0" borderId="0" xfId="6" quotePrefix="1" applyNumberFormat="1" applyFont="1" applyFill="1" applyAlignment="1" applyProtection="1">
      <alignment horizontal="left"/>
    </xf>
    <xf numFmtId="41" fontId="26" fillId="0" borderId="0" xfId="11" applyNumberFormat="1" applyFont="1" applyFill="1" applyBorder="1" applyAlignment="1" applyProtection="1"/>
    <xf numFmtId="168" fontId="26" fillId="0" borderId="0" xfId="21" applyNumberFormat="1" applyFont="1" applyFill="1" applyAlignment="1" applyProtection="1">
      <alignment horizontal="left"/>
    </xf>
    <xf numFmtId="0" fontId="26" fillId="0" borderId="0" xfId="11" applyNumberFormat="1" applyFont="1" applyFill="1" applyProtection="1"/>
    <xf numFmtId="41" fontId="27" fillId="0" borderId="0" xfId="11" applyNumberFormat="1" applyFont="1" applyFill="1" applyBorder="1" applyAlignment="1" applyProtection="1"/>
    <xf numFmtId="168" fontId="26" fillId="0" borderId="0" xfId="21" applyNumberFormat="1" applyFont="1" applyFill="1" applyProtection="1"/>
    <xf numFmtId="168" fontId="12" fillId="0" borderId="0" xfId="21" applyNumberFormat="1" applyFont="1" applyFill="1"/>
    <xf numFmtId="168" fontId="26" fillId="6" borderId="0" xfId="21" applyNumberFormat="1" applyFont="1" applyFill="1" applyAlignment="1" applyProtection="1">
      <alignment horizontal="left"/>
    </xf>
    <xf numFmtId="168" fontId="26" fillId="2" borderId="0" xfId="21" applyNumberFormat="1" applyFont="1" applyFill="1"/>
    <xf numFmtId="168" fontId="12" fillId="0" borderId="0" xfId="21" applyNumberFormat="1" applyFont="1"/>
    <xf numFmtId="171" fontId="26" fillId="0" borderId="0" xfId="21" applyNumberFormat="1" applyFont="1" applyFill="1" applyBorder="1" applyAlignment="1" applyProtection="1"/>
    <xf numFmtId="0" fontId="26" fillId="0" borderId="0" xfId="11" quotePrefix="1" applyNumberFormat="1" applyFont="1" applyFill="1" applyAlignment="1" applyProtection="1">
      <alignment horizontal="right"/>
    </xf>
    <xf numFmtId="171" fontId="26" fillId="0" borderId="0" xfId="21" quotePrefix="1" applyNumberFormat="1" applyFont="1" applyFill="1" applyAlignment="1" applyProtection="1">
      <alignment horizontal="right"/>
    </xf>
    <xf numFmtId="171" fontId="26" fillId="0" borderId="0" xfId="21" applyNumberFormat="1" applyFont="1" applyFill="1" applyAlignment="1" applyProtection="1">
      <alignment horizontal="right"/>
    </xf>
    <xf numFmtId="172" fontId="26" fillId="0" borderId="0" xfId="11" quotePrefix="1" applyNumberFormat="1" applyFont="1" applyFill="1" applyAlignment="1" applyProtection="1">
      <alignment horizontal="right"/>
    </xf>
    <xf numFmtId="171" fontId="26" fillId="7" borderId="0" xfId="21" quotePrefix="1" applyNumberFormat="1" applyFont="1" applyFill="1" applyAlignment="1" applyProtection="1">
      <alignment horizontal="right"/>
    </xf>
    <xf numFmtId="171" fontId="26" fillId="2" borderId="0" xfId="21" applyNumberFormat="1" applyFont="1" applyFill="1" applyBorder="1" applyAlignment="1" applyProtection="1"/>
    <xf numFmtId="0" fontId="26" fillId="2" borderId="0" xfId="11" quotePrefix="1" applyNumberFormat="1" applyFont="1" applyFill="1" applyAlignment="1" applyProtection="1">
      <alignment horizontal="right"/>
    </xf>
    <xf numFmtId="172" fontId="26" fillId="0" borderId="0" xfId="0" quotePrefix="1" applyNumberFormat="1" applyFont="1" applyFill="1" applyAlignment="1">
      <alignment horizontal="right"/>
    </xf>
    <xf numFmtId="171" fontId="26" fillId="7" borderId="0" xfId="21" applyNumberFormat="1" applyFont="1" applyFill="1" applyBorder="1" applyAlignment="1" applyProtection="1"/>
    <xf numFmtId="170" fontId="26" fillId="0" borderId="0" xfId="11" applyNumberFormat="1" applyFont="1" applyFill="1" applyBorder="1" applyAlignment="1" applyProtection="1">
      <alignment horizontal="left"/>
    </xf>
    <xf numFmtId="0" fontId="26" fillId="0" borderId="0" xfId="0" quotePrefix="1" applyFont="1" applyFill="1" applyBorder="1" applyAlignment="1">
      <alignment horizontal="right"/>
    </xf>
    <xf numFmtId="171" fontId="26" fillId="0" borderId="0" xfId="21" quotePrefix="1" applyNumberFormat="1" applyFont="1" applyFill="1" applyBorder="1" applyAlignment="1">
      <alignment horizontal="right"/>
    </xf>
    <xf numFmtId="171" fontId="26" fillId="7" borderId="0" xfId="21" quotePrefix="1" applyNumberFormat="1" applyFont="1" applyFill="1" applyBorder="1" applyAlignment="1">
      <alignment horizontal="right"/>
    </xf>
    <xf numFmtId="0" fontId="3" fillId="0" borderId="0" xfId="0" quotePrefix="1" applyFont="1" applyBorder="1"/>
    <xf numFmtId="168" fontId="43" fillId="0" borderId="0" xfId="21" applyNumberFormat="1" applyFont="1" applyFill="1" applyAlignment="1" applyProtection="1">
      <alignment horizontal="left"/>
    </xf>
    <xf numFmtId="168" fontId="40" fillId="0" borderId="0" xfId="21" applyNumberFormat="1" applyFont="1" applyFill="1" applyBorder="1" applyAlignment="1" applyProtection="1"/>
    <xf numFmtId="168" fontId="27" fillId="0" borderId="0" xfId="21" applyNumberFormat="1" applyFont="1" applyFill="1" applyBorder="1" applyAlignment="1" applyProtection="1"/>
    <xf numFmtId="168" fontId="43" fillId="0" borderId="0" xfId="21" applyNumberFormat="1" applyFont="1" applyFill="1"/>
    <xf numFmtId="168" fontId="26" fillId="0" borderId="0" xfId="21" applyNumberFormat="1" applyFont="1" applyFill="1"/>
    <xf numFmtId="168" fontId="26" fillId="7" borderId="0" xfId="21" applyNumberFormat="1" applyFont="1" applyFill="1" applyAlignment="1" applyProtection="1">
      <alignment horizontal="left"/>
    </xf>
    <xf numFmtId="168" fontId="40" fillId="0" borderId="0" xfId="21" applyNumberFormat="1" applyFont="1" applyFill="1" applyAlignment="1" applyProtection="1">
      <alignment horizontal="left"/>
    </xf>
    <xf numFmtId="168" fontId="27" fillId="0" borderId="0" xfId="21" applyNumberFormat="1" applyFont="1" applyFill="1" applyAlignment="1" applyProtection="1">
      <alignment horizontal="left"/>
    </xf>
    <xf numFmtId="171" fontId="27" fillId="5" borderId="11" xfId="21" applyNumberFormat="1" applyFont="1" applyFill="1" applyBorder="1" applyAlignment="1" applyProtection="1">
      <alignment horizontal="center"/>
    </xf>
    <xf numFmtId="171" fontId="27" fillId="0" borderId="0" xfId="21" applyNumberFormat="1" applyFont="1" applyFill="1" applyBorder="1" applyAlignment="1" applyProtection="1">
      <alignment horizontal="center"/>
    </xf>
    <xf numFmtId="171" fontId="26" fillId="0" borderId="0" xfId="21" applyNumberFormat="1" applyFont="1" applyFill="1" applyBorder="1" applyProtection="1"/>
    <xf numFmtId="168" fontId="27" fillId="6" borderId="0" xfId="21" applyNumberFormat="1" applyFont="1" applyFill="1" applyBorder="1" applyAlignment="1" applyProtection="1"/>
    <xf numFmtId="170" fontId="27" fillId="0" borderId="0" xfId="11" applyNumberFormat="1" applyFont="1" applyFill="1" applyBorder="1" applyAlignment="1" applyProtection="1">
      <alignment horizontal="left"/>
    </xf>
    <xf numFmtId="168" fontId="27" fillId="0" borderId="0" xfId="21" applyNumberFormat="1" applyFont="1" applyFill="1" applyBorder="1"/>
    <xf numFmtId="0" fontId="27" fillId="0" borderId="0" xfId="11" applyFont="1" applyFill="1" applyBorder="1" applyProtection="1"/>
    <xf numFmtId="168" fontId="26" fillId="0" borderId="0" xfId="21" applyNumberFormat="1" applyFont="1" applyFill="1" applyBorder="1"/>
    <xf numFmtId="171" fontId="26" fillId="0" borderId="0" xfId="21" applyNumberFormat="1" applyFont="1" applyFill="1" applyBorder="1"/>
    <xf numFmtId="0" fontId="12" fillId="0" borderId="0" xfId="0" applyFont="1" applyFill="1" applyBorder="1"/>
    <xf numFmtId="49" fontId="52" fillId="4" borderId="0" xfId="0" applyNumberFormat="1" applyFont="1" applyFill="1" applyBorder="1" applyAlignment="1" applyProtection="1">
      <alignment vertical="center"/>
    </xf>
    <xf numFmtId="0" fontId="58" fillId="0" borderId="0" xfId="11" applyFont="1" applyFill="1" applyBorder="1" applyProtection="1"/>
    <xf numFmtId="0" fontId="58" fillId="5" borderId="0" xfId="11" applyFont="1" applyFill="1" applyBorder="1" applyProtection="1"/>
    <xf numFmtId="0" fontId="54" fillId="5" borderId="0" xfId="11" applyNumberFormat="1" applyFont="1" applyFill="1" applyBorder="1" applyAlignment="1" applyProtection="1">
      <alignment horizontal="center" vertical="center"/>
    </xf>
    <xf numFmtId="0" fontId="58" fillId="0" borderId="0" xfId="11" applyFont="1" applyFill="1" applyBorder="1" applyAlignment="1" applyProtection="1">
      <alignment horizontal="center" vertical="center"/>
    </xf>
    <xf numFmtId="0" fontId="58" fillId="8" borderId="0" xfId="11" applyFont="1" applyFill="1" applyBorder="1" applyAlignment="1" applyProtection="1">
      <alignment horizontal="center" vertical="center"/>
    </xf>
    <xf numFmtId="0" fontId="44" fillId="0" borderId="0" xfId="0" applyFont="1" applyFill="1" applyBorder="1" applyAlignment="1">
      <alignment vertical="center"/>
    </xf>
    <xf numFmtId="0" fontId="29" fillId="0" borderId="0" xfId="0" applyFont="1" applyFill="1"/>
    <xf numFmtId="0" fontId="59" fillId="0" borderId="0" xfId="0" applyFont="1" applyFill="1" applyAlignment="1">
      <alignment horizontal="center" vertical="center"/>
    </xf>
    <xf numFmtId="0" fontId="60" fillId="0" borderId="0" xfId="0" applyFont="1" applyFill="1" applyBorder="1" applyAlignment="1">
      <alignment wrapText="1"/>
    </xf>
    <xf numFmtId="0" fontId="45" fillId="0" borderId="0" xfId="0" applyFont="1" applyFill="1" applyBorder="1"/>
    <xf numFmtId="168" fontId="3" fillId="0" borderId="0" xfId="23" quotePrefix="1" applyNumberFormat="1" applyFont="1" applyAlignment="1" applyProtection="1">
      <alignment horizontal="right"/>
    </xf>
    <xf numFmtId="37" fontId="4" fillId="0" borderId="0" xfId="9" applyNumberFormat="1" applyFont="1" applyFill="1" applyAlignment="1" applyProtection="1">
      <alignment horizontal="centerContinuous"/>
    </xf>
    <xf numFmtId="166" fontId="8" fillId="0" borderId="0" xfId="9" applyNumberFormat="1" applyFont="1" applyFill="1" applyProtection="1"/>
    <xf numFmtId="37" fontId="9" fillId="0" borderId="0" xfId="9" applyNumberFormat="1" applyFont="1" applyFill="1" applyAlignment="1" applyProtection="1">
      <alignment horizontal="centerContinuous"/>
    </xf>
    <xf numFmtId="37" fontId="10" fillId="0" borderId="0" xfId="9" applyNumberFormat="1" applyFont="1" applyFill="1" applyProtection="1"/>
    <xf numFmtId="166" fontId="8" fillId="0" borderId="0" xfId="9" applyNumberFormat="1" applyFont="1" applyFill="1" applyBorder="1" applyProtection="1"/>
    <xf numFmtId="37" fontId="10" fillId="0" borderId="0" xfId="9" applyNumberFormat="1" applyFont="1" applyFill="1" applyAlignment="1" applyProtection="1">
      <alignment horizontal="centerContinuous"/>
    </xf>
    <xf numFmtId="166" fontId="5" fillId="0" borderId="0" xfId="9" quotePrefix="1" applyNumberFormat="1" applyFont="1" applyFill="1" applyBorder="1" applyAlignment="1" applyProtection="1">
      <alignment horizontal="left"/>
    </xf>
    <xf numFmtId="166" fontId="10" fillId="0" borderId="0" xfId="9" applyNumberFormat="1" applyFont="1" applyFill="1" applyProtection="1"/>
    <xf numFmtId="37" fontId="10" fillId="0" borderId="0" xfId="9" applyNumberFormat="1" applyFont="1" applyFill="1" applyBorder="1" applyProtection="1"/>
    <xf numFmtId="37" fontId="51" fillId="0" borderId="0" xfId="9" applyNumberFormat="1" applyFont="1" applyFill="1" applyAlignment="1" applyProtection="1">
      <alignment horizontal="centerContinuous"/>
    </xf>
    <xf numFmtId="37" fontId="4" fillId="0" borderId="0" xfId="9" applyNumberFormat="1" applyFont="1" applyFill="1" applyBorder="1" applyAlignment="1" applyProtection="1">
      <alignment horizontal="right" vertical="center"/>
    </xf>
    <xf numFmtId="0" fontId="55" fillId="4" borderId="0" xfId="9" applyNumberFormat="1" applyFont="1" applyFill="1" applyBorder="1" applyAlignment="1" applyProtection="1">
      <alignment horizontal="center" vertical="center"/>
    </xf>
    <xf numFmtId="0" fontId="26" fillId="0" borderId="0" xfId="9" applyNumberFormat="1" applyFont="1" applyBorder="1" applyAlignment="1" applyProtection="1">
      <alignment horizontal="center" vertical="center"/>
    </xf>
    <xf numFmtId="37" fontId="53" fillId="5" borderId="0" xfId="9" applyNumberFormat="1" applyFont="1" applyFill="1" applyBorder="1" applyAlignment="1" applyProtection="1">
      <alignment horizontal="left"/>
    </xf>
    <xf numFmtId="49" fontId="27" fillId="5" borderId="0" xfId="9" applyNumberFormat="1" applyFont="1" applyFill="1" applyBorder="1" applyAlignment="1" applyProtection="1">
      <alignment horizontal="center"/>
    </xf>
    <xf numFmtId="166" fontId="26" fillId="0" borderId="0" xfId="9" applyNumberFormat="1" applyFont="1" applyBorder="1" applyProtection="1"/>
    <xf numFmtId="37" fontId="27" fillId="0" borderId="0" xfId="9" applyNumberFormat="1" applyFont="1" applyFill="1" applyAlignment="1" applyProtection="1">
      <alignment horizontal="left"/>
    </xf>
    <xf numFmtId="166" fontId="26" fillId="0" borderId="0" xfId="9" applyNumberFormat="1" applyFont="1" applyFill="1" applyProtection="1"/>
    <xf numFmtId="166" fontId="12" fillId="0" borderId="0" xfId="9" applyNumberFormat="1" applyFont="1" applyFill="1" applyProtection="1"/>
    <xf numFmtId="37" fontId="4" fillId="0" borderId="0" xfId="9" applyNumberFormat="1" applyFont="1" applyFill="1" applyAlignment="1" applyProtection="1">
      <alignment horizontal="left"/>
    </xf>
    <xf numFmtId="37" fontId="4" fillId="0" borderId="0" xfId="9" applyNumberFormat="1" applyFont="1" applyFill="1" applyBorder="1" applyAlignment="1" applyProtection="1">
      <alignment horizontal="left"/>
    </xf>
    <xf numFmtId="37" fontId="26" fillId="0" borderId="0" xfId="9" applyNumberFormat="1" applyFont="1" applyFill="1" applyAlignment="1" applyProtection="1">
      <alignment horizontal="center"/>
    </xf>
    <xf numFmtId="41" fontId="26" fillId="0" borderId="0" xfId="9" applyNumberFormat="1" applyFont="1" applyFill="1" applyBorder="1" applyAlignment="1" applyProtection="1">
      <alignment horizontal="right"/>
    </xf>
    <xf numFmtId="41" fontId="26" fillId="0" borderId="0" xfId="9" applyNumberFormat="1" applyFont="1" applyFill="1" applyAlignment="1" applyProtection="1">
      <alignment horizontal="right"/>
    </xf>
    <xf numFmtId="168" fontId="26" fillId="2" borderId="0" xfId="23" applyNumberFormat="1" applyFont="1" applyFill="1" applyAlignment="1" applyProtection="1">
      <alignment horizontal="right"/>
    </xf>
    <xf numFmtId="37" fontId="3" fillId="0" borderId="0" xfId="9" quotePrefix="1" applyNumberFormat="1" applyFont="1" applyFill="1" applyBorder="1" applyAlignment="1" applyProtection="1">
      <alignment horizontal="left"/>
    </xf>
    <xf numFmtId="41" fontId="3" fillId="0" borderId="0" xfId="9" applyNumberFormat="1" applyFont="1" applyFill="1" applyBorder="1" applyProtection="1"/>
    <xf numFmtId="168" fontId="3" fillId="0" borderId="0" xfId="23" quotePrefix="1" applyNumberFormat="1" applyFont="1" applyFill="1" applyBorder="1" applyAlignment="1" applyProtection="1">
      <alignment horizontal="left"/>
    </xf>
    <xf numFmtId="168" fontId="3" fillId="2" borderId="0" xfId="23" quotePrefix="1" applyNumberFormat="1" applyFont="1" applyFill="1" applyBorder="1" applyAlignment="1" applyProtection="1">
      <alignment horizontal="left"/>
    </xf>
    <xf numFmtId="170" fontId="53" fillId="5" borderId="11" xfId="9" applyNumberFormat="1" applyFont="1" applyFill="1" applyBorder="1" applyAlignment="1" applyProtection="1">
      <alignment horizontal="left"/>
    </xf>
    <xf numFmtId="166" fontId="26" fillId="0" borderId="0" xfId="9" applyNumberFormat="1" applyFont="1" applyFill="1" applyBorder="1" applyProtection="1"/>
    <xf numFmtId="37" fontId="3" fillId="0" borderId="0" xfId="9" quotePrefix="1" applyNumberFormat="1" applyFont="1" applyFill="1" applyAlignment="1" applyProtection="1">
      <alignment horizontal="left"/>
    </xf>
    <xf numFmtId="41" fontId="3" fillId="0" borderId="0" xfId="9" applyNumberFormat="1" applyFont="1" applyFill="1" applyProtection="1"/>
    <xf numFmtId="39" fontId="10" fillId="0" borderId="0" xfId="9" applyNumberFormat="1" applyFont="1" applyFill="1" applyProtection="1"/>
    <xf numFmtId="174" fontId="10" fillId="0" borderId="0" xfId="9" applyNumberFormat="1" applyFont="1" applyFill="1" applyProtection="1"/>
    <xf numFmtId="41" fontId="10" fillId="0" borderId="0" xfId="9" applyNumberFormat="1" applyFont="1" applyFill="1" applyProtection="1"/>
    <xf numFmtId="166" fontId="6" fillId="0" borderId="0" xfId="9" applyNumberFormat="1" applyFont="1" applyProtection="1"/>
    <xf numFmtId="37" fontId="4" fillId="0" borderId="0" xfId="9" applyNumberFormat="1" applyFont="1" applyFill="1" applyBorder="1" applyAlignment="1" applyProtection="1">
      <alignment horizontal="centerContinuous"/>
    </xf>
    <xf numFmtId="37" fontId="9" fillId="0" borderId="0" xfId="9" applyNumberFormat="1" applyFont="1" applyFill="1" applyBorder="1" applyAlignment="1" applyProtection="1">
      <alignment horizontal="centerContinuous"/>
    </xf>
    <xf numFmtId="37" fontId="10" fillId="0" borderId="0" xfId="9" applyNumberFormat="1" applyFont="1" applyFill="1" applyBorder="1" applyAlignment="1" applyProtection="1">
      <alignment horizontal="centerContinuous"/>
    </xf>
    <xf numFmtId="166" fontId="10" fillId="0" borderId="0" xfId="9" applyNumberFormat="1" applyFont="1" applyFill="1" applyBorder="1" applyProtection="1"/>
    <xf numFmtId="37" fontId="51" fillId="0" borderId="0" xfId="9" applyNumberFormat="1" applyFont="1" applyFill="1" applyBorder="1" applyAlignment="1" applyProtection="1">
      <alignment horizontal="centerContinuous"/>
    </xf>
    <xf numFmtId="37" fontId="10" fillId="0" borderId="0" xfId="9" applyNumberFormat="1" applyFont="1" applyProtection="1"/>
    <xf numFmtId="166" fontId="8" fillId="0" borderId="0" xfId="9" applyNumberFormat="1" applyFont="1" applyProtection="1"/>
    <xf numFmtId="37" fontId="10" fillId="0" borderId="0" xfId="9" applyNumberFormat="1" applyFont="1" applyBorder="1" applyProtection="1"/>
    <xf numFmtId="37" fontId="4" fillId="0" borderId="0" xfId="9" applyNumberFormat="1" applyFont="1" applyBorder="1" applyAlignment="1" applyProtection="1">
      <alignment horizontal="right" vertical="center"/>
    </xf>
    <xf numFmtId="49" fontId="52" fillId="4" borderId="0" xfId="9" applyNumberFormat="1" applyFont="1" applyFill="1" applyBorder="1" applyAlignment="1" applyProtection="1">
      <alignment horizontal="center" vertical="center"/>
    </xf>
    <xf numFmtId="49" fontId="27" fillId="0" borderId="0" xfId="9" applyNumberFormat="1" applyFont="1" applyFill="1" applyBorder="1" applyAlignment="1" applyProtection="1">
      <alignment horizontal="center"/>
    </xf>
    <xf numFmtId="37" fontId="27" fillId="0" borderId="0" xfId="9" applyNumberFormat="1" applyFont="1" applyFill="1" applyBorder="1" applyAlignment="1" applyProtection="1">
      <alignment horizontal="left"/>
    </xf>
    <xf numFmtId="170" fontId="27" fillId="0" borderId="0" xfId="9" applyNumberFormat="1" applyFont="1" applyAlignment="1" applyProtection="1">
      <alignment horizontal="left"/>
    </xf>
    <xf numFmtId="41" fontId="27" fillId="0" borderId="0" xfId="9" applyNumberFormat="1" applyFont="1" applyBorder="1" applyAlignment="1" applyProtection="1">
      <alignment horizontal="right"/>
    </xf>
    <xf numFmtId="166" fontId="12" fillId="0" borderId="0" xfId="9" applyNumberFormat="1" applyFont="1" applyProtection="1"/>
    <xf numFmtId="170" fontId="26" fillId="0" borderId="0" xfId="9" applyNumberFormat="1" applyFont="1" applyAlignment="1" applyProtection="1">
      <alignment horizontal="left"/>
    </xf>
    <xf numFmtId="41" fontId="26" fillId="0" borderId="0" xfId="9" applyNumberFormat="1" applyFont="1" applyAlignment="1" applyProtection="1">
      <alignment horizontal="right"/>
    </xf>
    <xf numFmtId="168" fontId="26" fillId="0" borderId="0" xfId="23" quotePrefix="1" applyNumberFormat="1" applyFont="1" applyAlignment="1" applyProtection="1">
      <alignment horizontal="right"/>
    </xf>
    <xf numFmtId="41" fontId="26" fillId="0" borderId="0" xfId="9" applyNumberFormat="1" applyFont="1" applyBorder="1" applyAlignment="1" applyProtection="1">
      <alignment horizontal="right"/>
    </xf>
    <xf numFmtId="41" fontId="41" fillId="0" borderId="0" xfId="9" applyNumberFormat="1" applyFont="1" applyAlignment="1" applyProtection="1">
      <alignment horizontal="right"/>
    </xf>
    <xf numFmtId="0" fontId="26" fillId="0" borderId="0" xfId="9" applyNumberFormat="1" applyFont="1" applyBorder="1" applyAlignment="1">
      <alignment horizontal="left"/>
    </xf>
    <xf numFmtId="37" fontId="25" fillId="0" borderId="0" xfId="9" applyNumberFormat="1" applyFont="1" applyBorder="1" applyProtection="1"/>
    <xf numFmtId="166" fontId="25" fillId="0" borderId="0" xfId="9" applyNumberFormat="1" applyFont="1" applyBorder="1" applyProtection="1"/>
    <xf numFmtId="41" fontId="27" fillId="0" borderId="0" xfId="9" applyNumberFormat="1" applyFont="1" applyAlignment="1" applyProtection="1">
      <alignment horizontal="right"/>
    </xf>
    <xf numFmtId="168" fontId="27" fillId="0" borderId="0" xfId="23" quotePrefix="1" applyNumberFormat="1" applyFont="1" applyAlignment="1" applyProtection="1">
      <alignment horizontal="right"/>
    </xf>
    <xf numFmtId="170" fontId="3" fillId="0" borderId="0" xfId="9" applyNumberFormat="1" applyFont="1" applyAlignment="1" applyProtection="1">
      <alignment horizontal="left"/>
    </xf>
    <xf numFmtId="37" fontId="3" fillId="0" borderId="0" xfId="9" applyNumberFormat="1" applyFont="1" applyAlignment="1" applyProtection="1">
      <alignment horizontal="right"/>
    </xf>
    <xf numFmtId="41" fontId="10" fillId="0" borderId="0" xfId="9" applyNumberFormat="1" applyFont="1" applyProtection="1"/>
    <xf numFmtId="166" fontId="10" fillId="0" borderId="0" xfId="9" applyNumberFormat="1" applyFont="1" applyProtection="1"/>
    <xf numFmtId="168" fontId="26" fillId="0" borderId="0" xfId="31" quotePrefix="1" applyNumberFormat="1" applyFont="1" applyFill="1" applyAlignment="1" applyProtection="1">
      <alignment horizontal="right"/>
    </xf>
    <xf numFmtId="168" fontId="26" fillId="6" borderId="0" xfId="31" quotePrefix="1" applyNumberFormat="1" applyFont="1" applyFill="1" applyAlignment="1" applyProtection="1">
      <alignment horizontal="right"/>
    </xf>
    <xf numFmtId="168" fontId="27" fillId="5" borderId="11" xfId="31" applyNumberFormat="1" applyFont="1" applyFill="1" applyBorder="1" applyAlignment="1" applyProtection="1">
      <alignment horizontal="center"/>
    </xf>
    <xf numFmtId="168" fontId="27" fillId="0" borderId="0" xfId="31" applyNumberFormat="1" applyFont="1" applyFill="1" applyAlignment="1" applyProtection="1">
      <alignment horizontal="right"/>
    </xf>
    <xf numFmtId="168" fontId="27" fillId="6" borderId="0" xfId="31" applyNumberFormat="1" applyFont="1" applyFill="1" applyAlignment="1" applyProtection="1">
      <alignment horizontal="right"/>
    </xf>
    <xf numFmtId="37" fontId="51" fillId="0" borderId="0" xfId="0" applyNumberFormat="1" applyFont="1" applyFill="1" applyAlignment="1" applyProtection="1">
      <alignment horizontal="centerContinuous"/>
    </xf>
    <xf numFmtId="0" fontId="46" fillId="0" borderId="0" xfId="7" applyFont="1" applyBorder="1" applyAlignment="1" applyProtection="1">
      <alignment horizontal="right" vertical="center"/>
    </xf>
    <xf numFmtId="0" fontId="46" fillId="0" borderId="0" xfId="7" applyFont="1" applyFill="1" applyAlignment="1" applyProtection="1">
      <alignment horizontal="right"/>
    </xf>
    <xf numFmtId="49" fontId="52" fillId="4" borderId="0" xfId="0" applyNumberFormat="1" applyFont="1" applyFill="1" applyBorder="1" applyAlignment="1" applyProtection="1">
      <alignment horizontal="center" vertical="center"/>
    </xf>
    <xf numFmtId="0" fontId="55" fillId="4" borderId="0" xfId="0" quotePrefix="1" applyNumberFormat="1" applyFont="1" applyFill="1" applyBorder="1" applyAlignment="1" applyProtection="1">
      <alignment horizontal="center" vertical="center"/>
    </xf>
    <xf numFmtId="0" fontId="55" fillId="0" borderId="0" xfId="0" quotePrefix="1" applyNumberFormat="1" applyFont="1" applyFill="1" applyBorder="1" applyAlignment="1" applyProtection="1">
      <alignment horizontal="center" vertical="center"/>
    </xf>
    <xf numFmtId="49" fontId="52" fillId="0" borderId="0" xfId="0" applyNumberFormat="1" applyFont="1" applyFill="1" applyBorder="1" applyAlignment="1" applyProtection="1">
      <alignment horizontal="center" vertical="center"/>
    </xf>
    <xf numFmtId="37" fontId="53" fillId="0" borderId="0" xfId="0" applyNumberFormat="1" applyFont="1" applyFill="1" applyBorder="1" applyAlignment="1" applyProtection="1">
      <alignment horizontal="left"/>
    </xf>
    <xf numFmtId="168" fontId="27" fillId="5" borderId="11" xfId="21" applyNumberFormat="1" applyFont="1" applyFill="1" applyBorder="1" applyAlignment="1" applyProtection="1">
      <alignment horizontal="center"/>
    </xf>
    <xf numFmtId="168" fontId="53" fillId="5" borderId="11" xfId="21" applyNumberFormat="1" applyFont="1" applyFill="1" applyBorder="1" applyAlignment="1" applyProtection="1">
      <alignment horizontal="left"/>
    </xf>
    <xf numFmtId="168" fontId="27" fillId="0" borderId="0" xfId="21" applyNumberFormat="1" applyFont="1" applyFill="1" applyBorder="1" applyAlignment="1" applyProtection="1">
      <alignment horizontal="center"/>
    </xf>
    <xf numFmtId="168" fontId="26" fillId="0" borderId="0" xfId="21" applyNumberFormat="1" applyFont="1" applyFill="1" applyBorder="1" applyProtection="1"/>
    <xf numFmtId="171" fontId="27" fillId="5" borderId="11" xfId="23" applyNumberFormat="1" applyFont="1" applyFill="1" applyBorder="1" applyAlignment="1" applyProtection="1">
      <alignment horizontal="center"/>
    </xf>
    <xf numFmtId="169" fontId="26" fillId="0" borderId="0" xfId="23" quotePrefix="1" applyNumberFormat="1" applyFont="1" applyFill="1" applyAlignment="1" applyProtection="1">
      <alignment horizontal="right"/>
    </xf>
    <xf numFmtId="173" fontId="27" fillId="0" borderId="0" xfId="20" applyNumberFormat="1" applyFont="1" applyFill="1" applyBorder="1" applyAlignment="1" applyProtection="1">
      <alignment horizontal="right"/>
    </xf>
    <xf numFmtId="41" fontId="4" fillId="0" borderId="0" xfId="9" applyNumberFormat="1" applyFont="1" applyFill="1" applyBorder="1" applyProtection="1"/>
    <xf numFmtId="173" fontId="27" fillId="0" borderId="0" xfId="20" applyNumberFormat="1" applyFont="1" applyFill="1" applyAlignment="1" applyProtection="1">
      <alignment horizontal="right"/>
    </xf>
    <xf numFmtId="37" fontId="4" fillId="0" borderId="0" xfId="9" quotePrefix="1" applyNumberFormat="1" applyFont="1" applyFill="1" applyBorder="1" applyAlignment="1" applyProtection="1">
      <alignment horizontal="left"/>
    </xf>
    <xf numFmtId="49" fontId="52" fillId="4" borderId="0" xfId="0" applyNumberFormat="1" applyFont="1" applyFill="1" applyBorder="1" applyAlignment="1" applyProtection="1">
      <alignment horizontal="center" vertical="center"/>
    </xf>
    <xf numFmtId="43" fontId="10" fillId="0" borderId="0" xfId="21" applyFont="1" applyFill="1" applyProtection="1"/>
    <xf numFmtId="49" fontId="52" fillId="4" borderId="0" xfId="0" applyNumberFormat="1" applyFont="1" applyFill="1" applyBorder="1" applyAlignment="1" applyProtection="1">
      <alignment horizontal="center" vertical="center"/>
    </xf>
    <xf numFmtId="49" fontId="52" fillId="4" borderId="0" xfId="0" applyNumberFormat="1" applyFont="1" applyFill="1" applyBorder="1" applyAlignment="1" applyProtection="1">
      <alignment horizontal="center" vertical="center"/>
    </xf>
    <xf numFmtId="0" fontId="46" fillId="0" borderId="0" xfId="7" applyFont="1" applyBorder="1" applyAlignment="1" applyProtection="1">
      <alignment horizontal="center" vertical="center"/>
    </xf>
    <xf numFmtId="49" fontId="52" fillId="4" borderId="0" xfId="0" applyNumberFormat="1" applyFont="1" applyFill="1" applyBorder="1" applyAlignment="1" applyProtection="1">
      <alignment horizontal="center" vertical="center"/>
    </xf>
    <xf numFmtId="0" fontId="2" fillId="8" borderId="0" xfId="7" applyFill="1" applyAlignment="1" applyProtection="1">
      <alignment horizontal="left" vertical="center"/>
    </xf>
    <xf numFmtId="0" fontId="46" fillId="0" borderId="0" xfId="7" applyFont="1" applyFill="1" applyAlignment="1" applyProtection="1">
      <alignment horizontal="center"/>
    </xf>
    <xf numFmtId="49" fontId="27" fillId="0" borderId="0" xfId="0" applyNumberFormat="1" applyFont="1" applyFill="1" applyBorder="1" applyAlignment="1" applyProtection="1">
      <alignment horizontal="center" vertical="center"/>
    </xf>
    <xf numFmtId="41" fontId="26" fillId="0" borderId="0" xfId="0" applyNumberFormat="1" applyFont="1" applyAlignment="1" applyProtection="1"/>
    <xf numFmtId="169" fontId="26" fillId="0" borderId="0" xfId="0" applyNumberFormat="1" applyFont="1" applyAlignment="1" applyProtection="1"/>
    <xf numFmtId="168" fontId="26" fillId="0" borderId="0" xfId="21" quotePrefix="1" applyNumberFormat="1" applyFont="1" applyAlignment="1" applyProtection="1"/>
    <xf numFmtId="168" fontId="26" fillId="0" borderId="0" xfId="21" quotePrefix="1" applyNumberFormat="1" applyFont="1" applyFill="1" applyAlignment="1" applyProtection="1"/>
    <xf numFmtId="168" fontId="26" fillId="6" borderId="0" xfId="21" quotePrefix="1" applyNumberFormat="1" applyFont="1" applyFill="1" applyAlignment="1" applyProtection="1"/>
    <xf numFmtId="49" fontId="52" fillId="4" borderId="0" xfId="0" applyNumberFormat="1" applyFont="1" applyFill="1" applyBorder="1" applyAlignment="1" applyProtection="1">
      <alignment horizontal="center" vertical="center"/>
    </xf>
    <xf numFmtId="41" fontId="27" fillId="0" borderId="0" xfId="9" applyNumberFormat="1" applyFont="1" applyFill="1" applyBorder="1" applyAlignment="1" applyProtection="1">
      <alignment horizontal="right"/>
    </xf>
    <xf numFmtId="168" fontId="3" fillId="0" borderId="0" xfId="23" quotePrefix="1" applyNumberFormat="1" applyFont="1" applyFill="1" applyAlignment="1" applyProtection="1">
      <alignment horizontal="right"/>
    </xf>
    <xf numFmtId="49" fontId="52" fillId="4" borderId="0" xfId="0" applyNumberFormat="1" applyFont="1" applyFill="1" applyBorder="1" applyAlignment="1" applyProtection="1">
      <alignment horizontal="center" vertical="center"/>
    </xf>
    <xf numFmtId="49" fontId="52" fillId="4" borderId="0" xfId="0" applyNumberFormat="1" applyFont="1" applyFill="1" applyBorder="1" applyAlignment="1" applyProtection="1">
      <alignment horizontal="center" vertical="center"/>
    </xf>
    <xf numFmtId="49" fontId="52" fillId="4" borderId="0" xfId="9" applyNumberFormat="1" applyFont="1" applyFill="1" applyBorder="1" applyAlignment="1" applyProtection="1">
      <alignment horizontal="center" vertical="center"/>
    </xf>
    <xf numFmtId="49" fontId="52" fillId="4" borderId="0" xfId="0" applyNumberFormat="1" applyFont="1" applyFill="1" applyBorder="1" applyAlignment="1" applyProtection="1">
      <alignment horizontal="center" vertical="center"/>
    </xf>
    <xf numFmtId="168" fontId="26" fillId="6" borderId="0" xfId="23" applyNumberFormat="1" applyFont="1" applyFill="1" applyAlignment="1" applyProtection="1">
      <alignment horizontal="right"/>
    </xf>
    <xf numFmtId="168" fontId="11" fillId="6" borderId="0" xfId="21" applyNumberFormat="1" applyFont="1" applyFill="1" applyAlignment="1" applyProtection="1">
      <alignment horizontal="right"/>
    </xf>
    <xf numFmtId="49" fontId="27" fillId="0" borderId="10" xfId="9" applyNumberFormat="1" applyFont="1" applyFill="1" applyBorder="1" applyAlignment="1" applyProtection="1">
      <alignment horizontal="center" vertical="center"/>
    </xf>
    <xf numFmtId="168" fontId="27" fillId="6" borderId="0" xfId="21" applyNumberFormat="1" applyFont="1" applyFill="1" applyBorder="1" applyAlignment="1" applyProtection="1">
      <alignment horizontal="right"/>
    </xf>
    <xf numFmtId="168" fontId="26" fillId="6" borderId="0" xfId="21" applyNumberFormat="1" applyFont="1" applyFill="1"/>
    <xf numFmtId="41" fontId="27" fillId="6" borderId="0" xfId="11" applyNumberFormat="1" applyFont="1" applyFill="1" applyBorder="1" applyAlignment="1" applyProtection="1"/>
    <xf numFmtId="168" fontId="27" fillId="6" borderId="0" xfId="21" applyNumberFormat="1" applyFont="1" applyFill="1" applyAlignment="1" applyProtection="1">
      <alignment horizontal="left"/>
    </xf>
    <xf numFmtId="168" fontId="27" fillId="6" borderId="0" xfId="21" applyNumberFormat="1" applyFont="1" applyFill="1" applyBorder="1"/>
    <xf numFmtId="168" fontId="26" fillId="6" borderId="0" xfId="21" applyNumberFormat="1" applyFont="1" applyFill="1" applyBorder="1"/>
    <xf numFmtId="171" fontId="26" fillId="6" borderId="0" xfId="21" applyNumberFormat="1" applyFont="1" applyFill="1" applyBorder="1"/>
    <xf numFmtId="49" fontId="56" fillId="5" borderId="0" xfId="0" applyNumberFormat="1" applyFont="1" applyFill="1" applyBorder="1" applyAlignment="1" applyProtection="1">
      <alignment horizontal="center" vertical="center"/>
    </xf>
    <xf numFmtId="49" fontId="56" fillId="0" borderId="0" xfId="0" applyNumberFormat="1" applyFont="1" applyFill="1" applyBorder="1" applyAlignment="1" applyProtection="1">
      <alignment horizontal="center" vertical="center"/>
    </xf>
    <xf numFmtId="37" fontId="56" fillId="5" borderId="0" xfId="0" applyNumberFormat="1" applyFont="1" applyFill="1" applyBorder="1" applyAlignment="1" applyProtection="1">
      <alignment horizontal="center" vertical="center"/>
    </xf>
    <xf numFmtId="166" fontId="57" fillId="0" borderId="0" xfId="0" applyNumberFormat="1" applyFont="1" applyFill="1" applyBorder="1" applyAlignment="1" applyProtection="1">
      <alignment horizontal="center" vertical="center"/>
    </xf>
    <xf numFmtId="37" fontId="4" fillId="0" borderId="0" xfId="0" applyNumberFormat="1" applyFont="1" applyAlignment="1" applyProtection="1">
      <alignment horizontal="left"/>
    </xf>
    <xf numFmtId="170" fontId="27" fillId="0" borderId="0" xfId="0" applyNumberFormat="1" applyFont="1" applyFill="1"/>
    <xf numFmtId="170" fontId="26" fillId="0" borderId="0" xfId="0" applyNumberFormat="1" applyFont="1" applyFill="1"/>
    <xf numFmtId="170" fontId="26" fillId="0" borderId="0" xfId="0" applyNumberFormat="1" applyFont="1" applyAlignment="1" applyProtection="1">
      <alignment horizontal="left"/>
    </xf>
    <xf numFmtId="170" fontId="27" fillId="0" borderId="0" xfId="0" applyNumberFormat="1" applyFont="1" applyAlignment="1" applyProtection="1">
      <alignment horizontal="left"/>
    </xf>
    <xf numFmtId="0" fontId="39" fillId="0" borderId="0" xfId="7" applyFont="1" applyFill="1" applyAlignment="1" applyProtection="1">
      <alignment horizontal="right"/>
    </xf>
    <xf numFmtId="0" fontId="3" fillId="0" borderId="0" xfId="11" applyFont="1" applyFill="1" applyAlignment="1" applyProtection="1">
      <alignment horizontal="centerContinuous"/>
    </xf>
    <xf numFmtId="0" fontId="4" fillId="0" borderId="0" xfId="11" applyNumberFormat="1" applyFont="1" applyFill="1" applyAlignment="1" applyProtection="1">
      <alignment horizontal="centerContinuous"/>
    </xf>
    <xf numFmtId="0" fontId="4" fillId="2" borderId="0" xfId="10" quotePrefix="1" applyNumberFormat="1" applyFont="1" applyFill="1" applyBorder="1" applyAlignment="1" applyProtection="1">
      <alignment horizontal="left"/>
    </xf>
    <xf numFmtId="49" fontId="27" fillId="0" borderId="0" xfId="0" quotePrefix="1" applyNumberFormat="1" applyFont="1" applyFill="1" applyBorder="1" applyAlignment="1" applyProtection="1">
      <alignment horizontal="left"/>
    </xf>
    <xf numFmtId="170" fontId="26" fillId="0" borderId="0" xfId="0" applyNumberFormat="1" applyFont="1" applyFill="1" applyBorder="1"/>
    <xf numFmtId="170" fontId="27" fillId="0" borderId="0" xfId="0" applyNumberFormat="1" applyFont="1" applyFill="1" applyBorder="1"/>
    <xf numFmtId="0" fontId="26" fillId="0" borderId="0" xfId="0" applyNumberFormat="1" applyFont="1" applyFill="1" applyBorder="1"/>
    <xf numFmtId="166" fontId="4" fillId="0" borderId="0" xfId="0" quotePrefix="1" applyNumberFormat="1" applyFont="1" applyBorder="1" applyAlignment="1" applyProtection="1">
      <alignment horizontal="left"/>
    </xf>
    <xf numFmtId="37" fontId="3" fillId="0" borderId="0" xfId="0" applyNumberFormat="1" applyFont="1" applyAlignment="1" applyProtection="1">
      <alignment horizontal="left"/>
    </xf>
    <xf numFmtId="37" fontId="4" fillId="0" borderId="0" xfId="0" quotePrefix="1" applyNumberFormat="1" applyFont="1" applyAlignment="1" applyProtection="1">
      <alignment horizontal="left"/>
    </xf>
    <xf numFmtId="37" fontId="3" fillId="0" borderId="0" xfId="0" quotePrefix="1" applyNumberFormat="1" applyFont="1" applyBorder="1" applyAlignment="1" applyProtection="1">
      <alignment horizontal="left"/>
    </xf>
    <xf numFmtId="37" fontId="3" fillId="0" borderId="0" xfId="0" applyNumberFormat="1" applyFont="1" applyProtection="1"/>
    <xf numFmtId="0" fontId="26" fillId="0" borderId="0" xfId="11" applyFont="1" applyFill="1" applyAlignment="1" applyProtection="1">
      <alignment horizontal="centerContinuous"/>
    </xf>
    <xf numFmtId="0" fontId="27" fillId="0" borderId="0" xfId="11" applyNumberFormat="1" applyFont="1" applyFill="1" applyAlignment="1" applyProtection="1">
      <alignment horizontal="centerContinuous"/>
    </xf>
    <xf numFmtId="0" fontId="27" fillId="2" borderId="0" xfId="10" quotePrefix="1" applyNumberFormat="1" applyFont="1" applyFill="1" applyBorder="1" applyAlignment="1" applyProtection="1">
      <alignment horizontal="left"/>
    </xf>
    <xf numFmtId="37" fontId="26" fillId="0" borderId="0" xfId="0" applyNumberFormat="1" applyFont="1" applyAlignment="1" applyProtection="1">
      <alignment horizontal="left"/>
    </xf>
    <xf numFmtId="37" fontId="27" fillId="0" borderId="0" xfId="0" quotePrefix="1" applyNumberFormat="1" applyFont="1" applyAlignment="1" applyProtection="1">
      <alignment horizontal="left"/>
    </xf>
    <xf numFmtId="37" fontId="26" fillId="0" borderId="0" xfId="0" quotePrefix="1" applyNumberFormat="1" applyFont="1" applyBorder="1" applyAlignment="1" applyProtection="1">
      <alignment horizontal="left"/>
    </xf>
    <xf numFmtId="37" fontId="67" fillId="0" borderId="0" xfId="8" applyNumberFormat="1" applyFont="1" applyFill="1" applyAlignment="1" applyProtection="1">
      <alignment horizontal="right"/>
    </xf>
    <xf numFmtId="37" fontId="26" fillId="0" borderId="0" xfId="0" applyNumberFormat="1" applyFont="1" applyFill="1" applyAlignment="1" applyProtection="1">
      <alignment horizontal="centerContinuous"/>
    </xf>
    <xf numFmtId="0" fontId="26" fillId="0" borderId="0" xfId="0" applyFont="1" applyBorder="1" applyAlignment="1">
      <alignment vertical="center"/>
    </xf>
    <xf numFmtId="0" fontId="27" fillId="0" borderId="0" xfId="0" applyNumberFormat="1" applyFont="1" applyBorder="1" applyAlignment="1" applyProtection="1">
      <alignment horizontal="center" vertical="center" wrapText="1"/>
    </xf>
    <xf numFmtId="0" fontId="26" fillId="0" borderId="0" xfId="11" applyNumberFormat="1" applyFont="1" applyFill="1" applyAlignment="1" applyProtection="1">
      <alignment horizontal="left"/>
    </xf>
    <xf numFmtId="170" fontId="26" fillId="0" borderId="10" xfId="11" applyNumberFormat="1" applyFont="1" applyFill="1" applyBorder="1" applyAlignment="1" applyProtection="1">
      <alignment horizontal="left"/>
    </xf>
    <xf numFmtId="0" fontId="26" fillId="0" borderId="0" xfId="0" applyFont="1" applyAlignment="1">
      <alignment horizontal="left" vertical="center" wrapText="1"/>
    </xf>
    <xf numFmtId="0" fontId="64" fillId="0" borderId="0" xfId="0" applyFont="1" applyFill="1"/>
    <xf numFmtId="0" fontId="66" fillId="0" borderId="0" xfId="7" applyFont="1" applyFill="1" applyAlignment="1" applyProtection="1">
      <alignment horizontal="left" vertical="center"/>
    </xf>
    <xf numFmtId="168" fontId="26" fillId="6" borderId="0" xfId="31" applyNumberFormat="1" applyFont="1" applyFill="1" applyAlignment="1" applyProtection="1">
      <alignment horizontal="right"/>
    </xf>
    <xf numFmtId="168" fontId="27" fillId="6" borderId="0" xfId="31" quotePrefix="1" applyNumberFormat="1" applyFont="1" applyFill="1" applyAlignment="1" applyProtection="1">
      <alignment horizontal="right"/>
    </xf>
    <xf numFmtId="168" fontId="26" fillId="6" borderId="0" xfId="31" quotePrefix="1" applyNumberFormat="1" applyFont="1" applyFill="1" applyBorder="1" applyAlignment="1" applyProtection="1">
      <alignment horizontal="right"/>
    </xf>
    <xf numFmtId="170" fontId="26" fillId="0" borderId="0" xfId="11" applyNumberFormat="1" applyFont="1" applyFill="1" applyProtection="1"/>
    <xf numFmtId="170" fontId="26" fillId="0" borderId="0" xfId="11" quotePrefix="1" applyNumberFormat="1" applyFont="1" applyFill="1" applyAlignment="1" applyProtection="1">
      <alignment horizontal="left"/>
    </xf>
    <xf numFmtId="170" fontId="27" fillId="0" borderId="0" xfId="11" quotePrefix="1" applyNumberFormat="1" applyFont="1" applyFill="1" applyAlignment="1" applyProtection="1">
      <alignment horizontal="left"/>
    </xf>
    <xf numFmtId="170" fontId="27" fillId="0" borderId="0" xfId="11" applyNumberFormat="1" applyFont="1" applyFill="1" applyProtection="1"/>
    <xf numFmtId="0" fontId="26" fillId="0" borderId="0" xfId="11" quotePrefix="1" applyNumberFormat="1" applyFont="1" applyFill="1" applyAlignment="1" applyProtection="1">
      <alignment horizontal="left"/>
    </xf>
    <xf numFmtId="37" fontId="26" fillId="0" borderId="0" xfId="0" quotePrefix="1" applyNumberFormat="1" applyFont="1" applyFill="1" applyAlignment="1" applyProtection="1">
      <alignment horizontal="left" wrapText="1"/>
    </xf>
    <xf numFmtId="170" fontId="27" fillId="0" borderId="0" xfId="0" applyNumberFormat="1" applyFont="1" applyFill="1" applyAlignment="1" applyProtection="1">
      <alignment horizontal="left" wrapText="1"/>
    </xf>
    <xf numFmtId="170" fontId="26" fillId="0" borderId="0" xfId="0" applyNumberFormat="1" applyFont="1" applyFill="1" applyBorder="1" applyAlignment="1" applyProtection="1">
      <alignment horizontal="left"/>
    </xf>
    <xf numFmtId="0" fontId="27" fillId="0" borderId="0" xfId="11" applyNumberFormat="1" applyFont="1" applyFill="1" applyBorder="1" applyAlignment="1" applyProtection="1">
      <alignment horizontal="left" vertical="center"/>
    </xf>
    <xf numFmtId="0" fontId="27" fillId="0" borderId="0" xfId="11" applyNumberFormat="1" applyFont="1" applyFill="1" applyBorder="1" applyAlignment="1" applyProtection="1">
      <alignment vertical="center" wrapText="1"/>
    </xf>
    <xf numFmtId="171" fontId="53" fillId="5" borderId="11" xfId="31" applyNumberFormat="1" applyFont="1" applyFill="1" applyBorder="1" applyAlignment="1" applyProtection="1">
      <alignment horizontal="left"/>
    </xf>
    <xf numFmtId="0" fontId="27" fillId="0" borderId="0" xfId="11" applyNumberFormat="1" applyFont="1" applyFill="1" applyBorder="1" applyAlignment="1" applyProtection="1">
      <alignment horizontal="center" vertical="center"/>
    </xf>
    <xf numFmtId="49" fontId="27" fillId="0" borderId="0" xfId="21" quotePrefix="1" applyNumberFormat="1" applyFont="1" applyFill="1" applyBorder="1" applyAlignment="1"/>
    <xf numFmtId="49" fontId="6" fillId="0" borderId="0" xfId="0" quotePrefix="1" applyNumberFormat="1" applyFont="1" applyFill="1" applyBorder="1" applyAlignment="1" applyProtection="1">
      <alignment horizontal="left"/>
    </xf>
    <xf numFmtId="49" fontId="6" fillId="0" borderId="11" xfId="0" quotePrefix="1" applyNumberFormat="1" applyFont="1" applyFill="1" applyBorder="1" applyAlignment="1" applyProtection="1">
      <alignment horizontal="left" wrapText="1"/>
    </xf>
    <xf numFmtId="37" fontId="54" fillId="0" borderId="0" xfId="0" quotePrefix="1" applyNumberFormat="1" applyFont="1" applyFill="1" applyAlignment="1" applyProtection="1">
      <alignment horizontal="left"/>
    </xf>
    <xf numFmtId="37" fontId="58" fillId="0" borderId="0" xfId="0" quotePrefix="1" applyNumberFormat="1" applyFont="1" applyFill="1" applyAlignment="1" applyProtection="1">
      <alignment horizontal="left"/>
    </xf>
    <xf numFmtId="49" fontId="52" fillId="4" borderId="0" xfId="0" applyNumberFormat="1" applyFont="1" applyFill="1" applyBorder="1" applyAlignment="1" applyProtection="1">
      <alignment horizontal="center" vertical="center"/>
    </xf>
    <xf numFmtId="0" fontId="73" fillId="0" borderId="0" xfId="0" applyFont="1"/>
    <xf numFmtId="0" fontId="4" fillId="0" borderId="12" xfId="11" applyNumberFormat="1" applyFont="1" applyFill="1" applyBorder="1" applyAlignment="1" applyProtection="1">
      <alignment horizontal="center" vertical="center" wrapText="1"/>
    </xf>
    <xf numFmtId="41" fontId="26" fillId="0" borderId="12" xfId="11" applyNumberFormat="1" applyFont="1" applyFill="1" applyBorder="1" applyAlignment="1" applyProtection="1"/>
    <xf numFmtId="41" fontId="27" fillId="0" borderId="12" xfId="11" applyNumberFormat="1" applyFont="1" applyFill="1" applyBorder="1" applyAlignment="1" applyProtection="1"/>
    <xf numFmtId="171" fontId="27" fillId="5" borderId="13" xfId="21" applyNumberFormat="1" applyFont="1" applyFill="1" applyBorder="1" applyAlignment="1" applyProtection="1">
      <alignment horizontal="center"/>
    </xf>
    <xf numFmtId="41" fontId="26" fillId="6" borderId="12" xfId="11" applyNumberFormat="1" applyFont="1" applyFill="1" applyBorder="1" applyAlignment="1" applyProtection="1"/>
    <xf numFmtId="41" fontId="27" fillId="6" borderId="12" xfId="11" applyNumberFormat="1" applyFont="1" applyFill="1" applyBorder="1" applyAlignment="1" applyProtection="1"/>
    <xf numFmtId="37" fontId="27" fillId="0" borderId="14" xfId="0" applyNumberFormat="1" applyFont="1" applyFill="1" applyBorder="1" applyAlignment="1" applyProtection="1">
      <alignment horizontal="left"/>
    </xf>
    <xf numFmtId="49" fontId="27" fillId="0" borderId="14" xfId="0" applyNumberFormat="1" applyFont="1" applyBorder="1" applyAlignment="1" applyProtection="1">
      <alignment horizontal="center" vertical="center"/>
    </xf>
    <xf numFmtId="169" fontId="26" fillId="0" borderId="14" xfId="0" applyNumberFormat="1" applyFont="1" applyBorder="1" applyAlignment="1" applyProtection="1">
      <alignment horizontal="right"/>
    </xf>
    <xf numFmtId="169" fontId="27" fillId="0" borderId="14" xfId="0" applyNumberFormat="1" applyFont="1" applyBorder="1" applyAlignment="1" applyProtection="1">
      <alignment horizontal="right"/>
    </xf>
    <xf numFmtId="169" fontId="26" fillId="0" borderId="14" xfId="0" applyNumberFormat="1" applyFont="1" applyBorder="1" applyProtection="1"/>
    <xf numFmtId="168" fontId="27" fillId="5" borderId="15" xfId="31" applyNumberFormat="1" applyFont="1" applyFill="1" applyBorder="1" applyAlignment="1" applyProtection="1">
      <alignment horizontal="center"/>
    </xf>
    <xf numFmtId="49" fontId="52" fillId="4" borderId="0" xfId="0" applyNumberFormat="1" applyFont="1" applyFill="1" applyBorder="1" applyAlignment="1" applyProtection="1">
      <alignment horizontal="center" vertical="center"/>
    </xf>
    <xf numFmtId="37" fontId="26" fillId="0" borderId="0" xfId="0" quotePrefix="1" applyNumberFormat="1" applyFont="1" applyFill="1" applyAlignment="1" applyProtection="1">
      <alignment wrapText="1"/>
    </xf>
    <xf numFmtId="37" fontId="27" fillId="0" borderId="0" xfId="0" applyNumberFormat="1" applyFont="1" applyFill="1" applyAlignment="1" applyProtection="1"/>
    <xf numFmtId="168" fontId="3" fillId="0" borderId="0" xfId="11" applyNumberFormat="1" applyFont="1" applyFill="1" applyProtection="1"/>
    <xf numFmtId="37" fontId="58" fillId="0" borderId="0" xfId="0" quotePrefix="1" applyNumberFormat="1" applyFont="1" applyFill="1" applyAlignment="1" applyProtection="1">
      <alignment horizontal="left" wrapText="1"/>
    </xf>
    <xf numFmtId="0" fontId="27" fillId="0" borderId="0" xfId="0" applyFont="1" applyFill="1" applyBorder="1" applyAlignment="1">
      <alignment horizontal="left"/>
    </xf>
    <xf numFmtId="170" fontId="26" fillId="0" borderId="0" xfId="0" applyNumberFormat="1" applyFont="1" applyFill="1" applyAlignment="1" applyProtection="1">
      <alignment horizontal="left" wrapText="1"/>
    </xf>
    <xf numFmtId="170" fontId="26" fillId="0" borderId="0" xfId="9" applyNumberFormat="1" applyFont="1" applyFill="1" applyAlignment="1" applyProtection="1">
      <alignment horizontal="left"/>
    </xf>
    <xf numFmtId="170" fontId="27" fillId="0" borderId="0" xfId="9" applyNumberFormat="1" applyFont="1" applyFill="1" applyAlignment="1" applyProtection="1">
      <alignment horizontal="left"/>
    </xf>
    <xf numFmtId="37" fontId="26" fillId="0" borderId="0" xfId="9" applyNumberFormat="1" applyFont="1" applyAlignment="1" applyProtection="1">
      <alignment wrapText="1"/>
    </xf>
    <xf numFmtId="0" fontId="62" fillId="0" borderId="0" xfId="0" quotePrefix="1" applyFont="1" applyFill="1" applyBorder="1" applyAlignment="1">
      <alignment horizontal="left"/>
    </xf>
    <xf numFmtId="175" fontId="64" fillId="8" borderId="0" xfId="0" applyNumberFormat="1" applyFont="1" applyFill="1" applyAlignment="1">
      <alignment horizontal="center" vertical="center"/>
    </xf>
    <xf numFmtId="0" fontId="39" fillId="0" borderId="0" xfId="7" applyFont="1" applyAlignment="1" applyProtection="1">
      <alignment horizontal="center"/>
    </xf>
    <xf numFmtId="0" fontId="38" fillId="0" borderId="0" xfId="7" applyFont="1" applyAlignment="1" applyProtection="1">
      <alignment horizontal="center"/>
    </xf>
    <xf numFmtId="41" fontId="27" fillId="0" borderId="0" xfId="29" applyNumberFormat="1" applyFont="1" applyProtection="1"/>
    <xf numFmtId="37" fontId="27" fillId="0" borderId="0" xfId="29" applyNumberFormat="1" applyFont="1" applyAlignment="1" applyProtection="1">
      <alignment horizontal="centerContinuous"/>
    </xf>
    <xf numFmtId="166" fontId="26" fillId="0" borderId="0" xfId="29" applyNumberFormat="1" applyFont="1" applyProtection="1"/>
    <xf numFmtId="37" fontId="67" fillId="0" borderId="0" xfId="8" applyNumberFormat="1" applyFont="1" applyAlignment="1" applyProtection="1">
      <alignment horizontal="right"/>
    </xf>
    <xf numFmtId="37" fontId="26" fillId="0" borderId="0" xfId="29" applyNumberFormat="1" applyFont="1" applyAlignment="1" applyProtection="1">
      <alignment horizontal="centerContinuous"/>
    </xf>
    <xf numFmtId="166" fontId="27" fillId="0" borderId="0" xfId="29" quotePrefix="1" applyNumberFormat="1" applyFont="1" applyBorder="1" applyAlignment="1" applyProtection="1">
      <alignment horizontal="left"/>
    </xf>
    <xf numFmtId="37" fontId="26" fillId="0" borderId="0" xfId="29" applyNumberFormat="1" applyFont="1" applyProtection="1"/>
    <xf numFmtId="37" fontId="27" fillId="0" borderId="0" xfId="29" applyNumberFormat="1" applyFont="1" applyAlignment="1" applyProtection="1">
      <alignment horizontal="left"/>
    </xf>
    <xf numFmtId="37" fontId="27" fillId="0" borderId="0" xfId="29" applyNumberFormat="1" applyFont="1" applyFill="1" applyAlignment="1" applyProtection="1">
      <alignment horizontal="left"/>
    </xf>
    <xf numFmtId="170" fontId="26" fillId="0" borderId="0" xfId="29" quotePrefix="1" applyNumberFormat="1" applyFont="1" applyAlignment="1" applyProtection="1">
      <alignment horizontal="left"/>
    </xf>
    <xf numFmtId="41" fontId="26" fillId="0" borderId="0" xfId="29" applyNumberFormat="1" applyFont="1" applyFill="1" applyProtection="1"/>
    <xf numFmtId="168" fontId="26" fillId="0" borderId="0" xfId="21" quotePrefix="1" applyNumberFormat="1" applyFont="1" applyFill="1" applyAlignment="1" applyProtection="1">
      <alignment horizontal="left"/>
    </xf>
    <xf numFmtId="168" fontId="26" fillId="0" borderId="0" xfId="21" quotePrefix="1" applyNumberFormat="1" applyFont="1" applyAlignment="1" applyProtection="1">
      <alignment horizontal="left"/>
    </xf>
    <xf numFmtId="170" fontId="26" fillId="0" borderId="0" xfId="29" applyNumberFormat="1" applyFont="1" applyAlignment="1" applyProtection="1">
      <alignment horizontal="left"/>
    </xf>
    <xf numFmtId="37" fontId="26" fillId="0" borderId="0" xfId="29" quotePrefix="1" applyNumberFormat="1" applyFont="1" applyAlignment="1" applyProtection="1">
      <alignment horizontal="left"/>
    </xf>
    <xf numFmtId="37" fontId="26" fillId="0" borderId="0" xfId="29" quotePrefix="1" applyNumberFormat="1" applyFont="1" applyFill="1" applyAlignment="1" applyProtection="1">
      <alignment horizontal="left"/>
    </xf>
    <xf numFmtId="41" fontId="26" fillId="0" borderId="0" xfId="29" applyNumberFormat="1" applyFont="1" applyProtection="1"/>
    <xf numFmtId="166" fontId="26" fillId="0" borderId="0" xfId="29" applyNumberFormat="1" applyFont="1" applyFill="1" applyProtection="1"/>
    <xf numFmtId="41" fontId="27" fillId="0" borderId="0" xfId="29" applyNumberFormat="1" applyFont="1" applyFill="1" applyProtection="1"/>
    <xf numFmtId="37" fontId="26" fillId="0" borderId="0" xfId="29" applyNumberFormat="1" applyFont="1" applyFill="1" applyProtection="1"/>
    <xf numFmtId="168" fontId="26" fillId="0" borderId="0" xfId="21" applyNumberFormat="1" applyFont="1" applyFill="1" applyAlignment="1" applyProtection="1">
      <alignment horizontal="centerContinuous"/>
    </xf>
    <xf numFmtId="168" fontId="27" fillId="0" borderId="0" xfId="21" applyNumberFormat="1" applyFont="1" applyFill="1" applyAlignment="1" applyProtection="1">
      <alignment horizontal="centerContinuous"/>
    </xf>
    <xf numFmtId="0" fontId="27" fillId="0" borderId="10" xfId="11" applyNumberFormat="1" applyFont="1" applyFill="1" applyBorder="1" applyAlignment="1" applyProtection="1">
      <alignment horizontal="centerContinuous" vertical="center"/>
    </xf>
    <xf numFmtId="0" fontId="27" fillId="0" borderId="0" xfId="11" applyNumberFormat="1" applyFont="1" applyFill="1" applyBorder="1" applyAlignment="1" applyProtection="1">
      <alignment horizontal="centerContinuous" vertical="center"/>
    </xf>
    <xf numFmtId="37" fontId="27" fillId="0" borderId="0" xfId="29" applyNumberFormat="1" applyFont="1" applyBorder="1" applyAlignment="1" applyProtection="1">
      <alignment horizontal="center"/>
    </xf>
    <xf numFmtId="0" fontId="26" fillId="0" borderId="0" xfId="11" applyFont="1" applyFill="1" applyAlignment="1" applyProtection="1">
      <alignment horizontal="center" vertical="center"/>
    </xf>
    <xf numFmtId="0" fontId="27" fillId="0" borderId="0" xfId="11" applyNumberFormat="1" applyFont="1" applyFill="1" applyBorder="1" applyAlignment="1" applyProtection="1">
      <alignment horizontal="center"/>
    </xf>
    <xf numFmtId="168" fontId="26" fillId="0" borderId="0" xfId="21" applyNumberFormat="1" applyFont="1" applyFill="1" applyBorder="1" applyAlignment="1" applyProtection="1"/>
    <xf numFmtId="0" fontId="27" fillId="0" borderId="0" xfId="29" applyFont="1"/>
    <xf numFmtId="168" fontId="39" fillId="0" borderId="0" xfId="21" applyNumberFormat="1" applyFont="1" applyFill="1" applyAlignment="1" applyProtection="1">
      <alignment horizontal="right"/>
    </xf>
    <xf numFmtId="0" fontId="27" fillId="0" borderId="10" xfId="11" applyNumberFormat="1" applyFont="1" applyFill="1" applyBorder="1" applyAlignment="1" applyProtection="1">
      <alignment horizontal="left" vertical="center"/>
    </xf>
    <xf numFmtId="168" fontId="27" fillId="0" borderId="10" xfId="21" applyNumberFormat="1" applyFont="1" applyFill="1" applyBorder="1" applyAlignment="1" applyProtection="1">
      <alignment horizontal="left" vertical="center"/>
    </xf>
    <xf numFmtId="0" fontId="26" fillId="0" borderId="0" xfId="29" applyFont="1" applyBorder="1" applyAlignment="1">
      <alignment vertical="center" wrapText="1"/>
    </xf>
    <xf numFmtId="0" fontId="26" fillId="0" borderId="0" xfId="29" applyFont="1"/>
    <xf numFmtId="49" fontId="52" fillId="4" borderId="0" xfId="0" applyNumberFormat="1" applyFont="1" applyFill="1" applyBorder="1" applyAlignment="1" applyProtection="1">
      <alignment horizontal="center" vertical="center"/>
    </xf>
    <xf numFmtId="168" fontId="26" fillId="0" borderId="0" xfId="31" applyNumberFormat="1" applyFont="1" applyFill="1" applyAlignment="1" applyProtection="1">
      <alignment horizontal="right"/>
    </xf>
    <xf numFmtId="168" fontId="27" fillId="0" borderId="0" xfId="31" quotePrefix="1" applyNumberFormat="1" applyFont="1" applyFill="1" applyAlignment="1" applyProtection="1">
      <alignment horizontal="right"/>
    </xf>
    <xf numFmtId="168" fontId="26" fillId="0" borderId="0" xfId="31" quotePrefix="1" applyNumberFormat="1" applyFont="1" applyFill="1" applyBorder="1" applyAlignment="1" applyProtection="1">
      <alignment horizontal="right"/>
    </xf>
    <xf numFmtId="168" fontId="11" fillId="0" borderId="0" xfId="21" applyNumberFormat="1" applyFont="1" applyFill="1" applyAlignment="1" applyProtection="1">
      <alignment horizontal="right"/>
    </xf>
    <xf numFmtId="168" fontId="3" fillId="0" borderId="0" xfId="21" applyNumberFormat="1" applyFont="1" applyFill="1" applyAlignment="1" applyProtection="1">
      <alignment horizontal="right"/>
    </xf>
    <xf numFmtId="49" fontId="27" fillId="0" borderId="14" xfId="0" applyNumberFormat="1" applyFont="1" applyFill="1" applyBorder="1" applyAlignment="1" applyProtection="1">
      <alignment horizontal="center" vertical="center"/>
    </xf>
    <xf numFmtId="169" fontId="26" fillId="0" borderId="14" xfId="0" applyNumberFormat="1" applyFont="1" applyFill="1" applyBorder="1" applyAlignment="1" applyProtection="1">
      <alignment horizontal="right"/>
    </xf>
    <xf numFmtId="169" fontId="27" fillId="0" borderId="14" xfId="0" applyNumberFormat="1" applyFont="1" applyFill="1" applyBorder="1" applyAlignment="1" applyProtection="1">
      <alignment horizontal="right"/>
    </xf>
    <xf numFmtId="169" fontId="26" fillId="0" borderId="14" xfId="0" applyNumberFormat="1" applyFont="1" applyFill="1" applyBorder="1" applyProtection="1"/>
    <xf numFmtId="9" fontId="12" fillId="0" borderId="0" xfId="12" applyFont="1" applyFill="1" applyAlignment="1">
      <alignment horizontal="right"/>
    </xf>
    <xf numFmtId="0" fontId="26" fillId="0" borderId="0" xfId="29" applyFont="1" applyFill="1"/>
    <xf numFmtId="49" fontId="52" fillId="4" borderId="0" xfId="0" applyNumberFormat="1" applyFont="1" applyFill="1" applyBorder="1" applyAlignment="1" applyProtection="1">
      <alignment horizontal="center" vertical="center"/>
    </xf>
    <xf numFmtId="43" fontId="0" fillId="0" borderId="0" xfId="21" applyFont="1" applyFill="1"/>
    <xf numFmtId="170" fontId="53" fillId="0" borderId="0" xfId="0" applyNumberFormat="1" applyFont="1" applyFill="1" applyBorder="1" applyAlignment="1" applyProtection="1">
      <alignment horizontal="left"/>
    </xf>
    <xf numFmtId="164" fontId="27" fillId="5" borderId="11" xfId="29" applyNumberFormat="1" applyFont="1" applyFill="1" applyBorder="1" applyProtection="1"/>
    <xf numFmtId="164" fontId="27" fillId="5" borderId="11" xfId="29" applyNumberFormat="1" applyFont="1" applyFill="1" applyBorder="1" applyAlignment="1" applyProtection="1">
      <alignment horizontal="right"/>
    </xf>
    <xf numFmtId="49" fontId="27" fillId="0" borderId="0" xfId="21" applyNumberFormat="1" applyFont="1" applyFill="1" applyBorder="1" applyAlignment="1" applyProtection="1">
      <alignment horizontal="left"/>
    </xf>
    <xf numFmtId="171" fontId="53" fillId="0" borderId="0" xfId="21" applyNumberFormat="1" applyFont="1" applyFill="1" applyBorder="1" applyAlignment="1" applyProtection="1">
      <alignment horizontal="left"/>
    </xf>
    <xf numFmtId="170" fontId="3" fillId="5" borderId="11" xfId="11" applyNumberFormat="1" applyFont="1" applyFill="1" applyBorder="1" applyAlignment="1" applyProtection="1">
      <alignment horizontal="left"/>
    </xf>
    <xf numFmtId="171" fontId="3" fillId="5" borderId="11" xfId="21" applyNumberFormat="1" applyFont="1" applyFill="1" applyBorder="1"/>
    <xf numFmtId="0" fontId="0" fillId="5" borderId="11" xfId="0" applyFill="1" applyBorder="1"/>
    <xf numFmtId="41" fontId="27" fillId="5" borderId="0" xfId="0" applyNumberFormat="1" applyFont="1" applyFill="1" applyAlignment="1" applyProtection="1">
      <alignment horizontal="right"/>
    </xf>
    <xf numFmtId="41" fontId="4" fillId="5" borderId="0" xfId="11" applyNumberFormat="1" applyFont="1" applyFill="1" applyBorder="1" applyAlignment="1" applyProtection="1">
      <alignment horizontal="right"/>
    </xf>
    <xf numFmtId="41" fontId="26" fillId="5" borderId="0" xfId="0" applyNumberFormat="1" applyFont="1" applyFill="1" applyAlignment="1" applyProtection="1">
      <alignment horizontal="right"/>
    </xf>
    <xf numFmtId="37" fontId="53" fillId="5" borderId="11" xfId="0" applyNumberFormat="1" applyFont="1" applyFill="1" applyBorder="1" applyAlignment="1" applyProtection="1">
      <alignment horizontal="left"/>
    </xf>
    <xf numFmtId="169" fontId="26" fillId="6" borderId="0" xfId="0" applyNumberFormat="1" applyFont="1" applyFill="1" applyAlignment="1" applyProtection="1">
      <alignment horizontal="right"/>
    </xf>
    <xf numFmtId="169" fontId="26" fillId="6" borderId="0" xfId="31" quotePrefix="1" applyNumberFormat="1" applyFont="1" applyFill="1" applyAlignment="1" applyProtection="1">
      <alignment horizontal="right"/>
    </xf>
    <xf numFmtId="49" fontId="27" fillId="6" borderId="10" xfId="9" applyNumberFormat="1" applyFont="1" applyFill="1" applyBorder="1" applyAlignment="1" applyProtection="1">
      <alignment horizontal="center" vertical="center"/>
    </xf>
    <xf numFmtId="41" fontId="27" fillId="6" borderId="0" xfId="34" applyNumberFormat="1" applyFont="1" applyFill="1" applyBorder="1" applyAlignment="1" applyProtection="1">
      <alignment horizontal="right"/>
    </xf>
    <xf numFmtId="37" fontId="27" fillId="0" borderId="0" xfId="34" applyNumberFormat="1" applyFont="1" applyFill="1" applyBorder="1" applyAlignment="1" applyProtection="1">
      <alignment horizontal="left"/>
    </xf>
    <xf numFmtId="0" fontId="1" fillId="0" borderId="0" xfId="34" applyFont="1" applyFill="1"/>
    <xf numFmtId="168" fontId="1" fillId="0" borderId="0" xfId="21" applyNumberFormat="1" applyFont="1"/>
    <xf numFmtId="168" fontId="1" fillId="0" borderId="0" xfId="21" applyNumberFormat="1" applyFont="1" applyFill="1"/>
    <xf numFmtId="168" fontId="26" fillId="6" borderId="0" xfId="21" applyNumberFormat="1" applyFont="1" applyFill="1" applyBorder="1" applyAlignment="1" applyProtection="1">
      <alignment horizontal="left"/>
    </xf>
    <xf numFmtId="37" fontId="27" fillId="0" borderId="16" xfId="0" applyNumberFormat="1" applyFont="1" applyBorder="1" applyAlignment="1" applyProtection="1">
      <alignment horizontal="center" vertical="center"/>
    </xf>
    <xf numFmtId="37" fontId="27" fillId="0" borderId="16" xfId="0" applyNumberFormat="1" applyFont="1" applyFill="1" applyBorder="1" applyAlignment="1" applyProtection="1">
      <alignment horizontal="left"/>
    </xf>
    <xf numFmtId="37" fontId="26" fillId="0" borderId="16" xfId="0" applyNumberFormat="1" applyFont="1" applyBorder="1" applyAlignment="1" applyProtection="1">
      <alignment horizontal="center"/>
    </xf>
    <xf numFmtId="37" fontId="26" fillId="0" borderId="16" xfId="0" quotePrefix="1" applyNumberFormat="1" applyFont="1" applyBorder="1" applyAlignment="1" applyProtection="1">
      <alignment horizontal="left"/>
    </xf>
    <xf numFmtId="170" fontId="53" fillId="5" borderId="17" xfId="0" applyNumberFormat="1" applyFont="1" applyFill="1" applyBorder="1" applyAlignment="1" applyProtection="1">
      <alignment horizontal="left"/>
    </xf>
    <xf numFmtId="168" fontId="26" fillId="0" borderId="10" xfId="21" applyNumberFormat="1" applyFont="1" applyFill="1" applyBorder="1"/>
    <xf numFmtId="168" fontId="26" fillId="6" borderId="10" xfId="21" applyNumberFormat="1" applyFont="1" applyFill="1" applyBorder="1"/>
    <xf numFmtId="171" fontId="26" fillId="0" borderId="10" xfId="21" applyNumberFormat="1" applyFont="1" applyFill="1" applyBorder="1"/>
    <xf numFmtId="171" fontId="26" fillId="6" borderId="10" xfId="21" applyNumberFormat="1" applyFont="1" applyFill="1" applyBorder="1"/>
    <xf numFmtId="49" fontId="52" fillId="4" borderId="0" xfId="9" applyNumberFormat="1" applyFont="1" applyFill="1" applyBorder="1" applyAlignment="1" applyProtection="1">
      <alignment horizontal="center" vertical="center"/>
    </xf>
    <xf numFmtId="49" fontId="52" fillId="4" borderId="0" xfId="0" applyNumberFormat="1" applyFont="1" applyFill="1" applyBorder="1" applyAlignment="1" applyProtection="1">
      <alignment horizontal="center" vertical="center"/>
    </xf>
    <xf numFmtId="0" fontId="66" fillId="8" borderId="0" xfId="7" applyFont="1" applyFill="1" applyAlignment="1" applyProtection="1">
      <alignment horizontal="left" vertical="center"/>
    </xf>
    <xf numFmtId="0" fontId="64" fillId="8" borderId="0" xfId="0" applyFont="1" applyFill="1"/>
    <xf numFmtId="0" fontId="34" fillId="0" borderId="0" xfId="0" applyFont="1" applyAlignment="1">
      <alignment horizontal="center" wrapText="1"/>
    </xf>
    <xf numFmtId="170" fontId="26" fillId="0" borderId="0" xfId="34" quotePrefix="1" applyNumberFormat="1" applyFont="1" applyFill="1" applyAlignment="1" applyProtection="1">
      <alignment horizontal="left"/>
    </xf>
    <xf numFmtId="41" fontId="26" fillId="0" borderId="0" xfId="34" applyNumberFormat="1" applyFont="1" applyFill="1" applyProtection="1"/>
    <xf numFmtId="37" fontId="26" fillId="0" borderId="0" xfId="34" quotePrefix="1" applyNumberFormat="1" applyFont="1" applyFill="1" applyAlignment="1" applyProtection="1">
      <alignment horizontal="right"/>
    </xf>
    <xf numFmtId="168" fontId="26" fillId="0" borderId="0" xfId="31" quotePrefix="1" applyNumberFormat="1" applyFont="1" applyFill="1" applyAlignment="1" applyProtection="1">
      <alignment horizontal="left"/>
    </xf>
    <xf numFmtId="37" fontId="26" fillId="0" borderId="0" xfId="34" quotePrefix="1" applyNumberFormat="1" applyFont="1" applyFill="1" applyAlignment="1" applyProtection="1">
      <alignment horizontal="left"/>
    </xf>
    <xf numFmtId="166" fontId="26" fillId="0" borderId="0" xfId="34" applyNumberFormat="1" applyFont="1" applyProtection="1"/>
    <xf numFmtId="170" fontId="27" fillId="0" borderId="0" xfId="34" quotePrefix="1" applyNumberFormat="1" applyFont="1" applyFill="1" applyAlignment="1" applyProtection="1">
      <alignment horizontal="left"/>
    </xf>
    <xf numFmtId="41" fontId="26" fillId="0" borderId="0" xfId="34" applyNumberFormat="1" applyFont="1" applyFill="1" applyBorder="1" applyProtection="1"/>
    <xf numFmtId="37" fontId="26" fillId="0" borderId="0" xfId="34" quotePrefix="1" applyNumberFormat="1" applyFont="1" applyFill="1" applyBorder="1" applyAlignment="1" applyProtection="1">
      <alignment horizontal="right"/>
    </xf>
    <xf numFmtId="168" fontId="26" fillId="0" borderId="0" xfId="31" quotePrefix="1" applyNumberFormat="1" applyFont="1" applyFill="1" applyBorder="1" applyAlignment="1" applyProtection="1">
      <alignment horizontal="left"/>
    </xf>
    <xf numFmtId="166" fontId="26" fillId="0" borderId="0" xfId="34" applyNumberFormat="1" applyFont="1" applyBorder="1" applyProtection="1"/>
    <xf numFmtId="49" fontId="6" fillId="0" borderId="11" xfId="34" quotePrefix="1" applyNumberFormat="1" applyFont="1" applyFill="1" applyBorder="1" applyAlignment="1" applyProtection="1">
      <alignment horizontal="left"/>
    </xf>
    <xf numFmtId="37" fontId="27" fillId="0" borderId="0" xfId="34" applyNumberFormat="1" applyFont="1" applyFill="1" applyBorder="1" applyAlignment="1" applyProtection="1">
      <alignment vertical="center"/>
    </xf>
    <xf numFmtId="0" fontId="26" fillId="0" borderId="0" xfId="34" applyNumberFormat="1" applyFont="1" applyAlignment="1" applyProtection="1">
      <alignment horizontal="center" vertical="center"/>
    </xf>
    <xf numFmtId="0" fontId="27" fillId="0" borderId="0" xfId="34" applyNumberFormat="1" applyFont="1" applyBorder="1" applyAlignment="1" applyProtection="1">
      <alignment horizontal="center" vertical="center"/>
    </xf>
    <xf numFmtId="0" fontId="27" fillId="0" borderId="0" xfId="34" applyNumberFormat="1" applyFont="1" applyBorder="1" applyAlignment="1" applyProtection="1">
      <alignment vertical="center"/>
    </xf>
    <xf numFmtId="0" fontId="52" fillId="4" borderId="0" xfId="34" applyNumberFormat="1" applyFont="1" applyFill="1" applyBorder="1" applyAlignment="1" applyProtection="1">
      <alignment horizontal="center" vertical="center"/>
    </xf>
    <xf numFmtId="49" fontId="52" fillId="4" borderId="0" xfId="34" applyNumberFormat="1" applyFont="1" applyFill="1" applyBorder="1" applyAlignment="1" applyProtection="1">
      <alignment horizontal="center" vertical="center"/>
    </xf>
    <xf numFmtId="49" fontId="27" fillId="5" borderId="0" xfId="34" applyNumberFormat="1" applyFont="1" applyFill="1" applyBorder="1" applyAlignment="1" applyProtection="1">
      <alignment horizontal="center"/>
    </xf>
    <xf numFmtId="37" fontId="27" fillId="0" borderId="0" xfId="34" applyNumberFormat="1" applyFont="1" applyFill="1" applyAlignment="1" applyProtection="1">
      <alignment horizontal="left"/>
    </xf>
    <xf numFmtId="176" fontId="27" fillId="0" borderId="0" xfId="31" applyNumberFormat="1" applyFont="1" applyFill="1" applyAlignment="1" applyProtection="1">
      <alignment horizontal="right"/>
    </xf>
    <xf numFmtId="166" fontId="26" fillId="0" borderId="0" xfId="34" applyNumberFormat="1" applyFont="1" applyFill="1" applyProtection="1"/>
    <xf numFmtId="176" fontId="26" fillId="0" borderId="0" xfId="31" quotePrefix="1" applyNumberFormat="1" applyFont="1" applyFill="1" applyAlignment="1" applyProtection="1">
      <alignment horizontal="right"/>
    </xf>
    <xf numFmtId="166" fontId="53" fillId="0" borderId="0" xfId="34" applyNumberFormat="1" applyFont="1" applyFill="1" applyProtection="1"/>
    <xf numFmtId="176" fontId="26" fillId="0" borderId="0" xfId="31" applyNumberFormat="1" applyFont="1" applyFill="1" applyAlignment="1" applyProtection="1">
      <alignment horizontal="right"/>
    </xf>
    <xf numFmtId="170" fontId="26" fillId="0" borderId="0" xfId="34" applyNumberFormat="1" applyFont="1" applyFill="1" applyAlignment="1" applyProtection="1">
      <alignment horizontal="left"/>
    </xf>
    <xf numFmtId="170" fontId="53" fillId="5" borderId="11" xfId="34" applyNumberFormat="1" applyFont="1" applyFill="1" applyBorder="1" applyAlignment="1" applyProtection="1">
      <alignment horizontal="left"/>
    </xf>
    <xf numFmtId="37" fontId="27" fillId="0" borderId="0" xfId="34" applyNumberFormat="1" applyFont="1" applyFill="1" applyBorder="1" applyAlignment="1" applyProtection="1">
      <alignment horizontal="centerContinuous"/>
    </xf>
    <xf numFmtId="37" fontId="26" fillId="0" borderId="0" xfId="34" applyNumberFormat="1" applyFont="1" applyProtection="1"/>
    <xf numFmtId="166" fontId="26" fillId="0" borderId="0" xfId="34" applyNumberFormat="1" applyFont="1" applyFill="1" applyBorder="1" applyProtection="1"/>
    <xf numFmtId="166" fontId="27" fillId="0" borderId="0" xfId="34" quotePrefix="1" applyNumberFormat="1" applyFont="1" applyFill="1" applyBorder="1" applyAlignment="1" applyProtection="1">
      <alignment horizontal="left"/>
    </xf>
    <xf numFmtId="166" fontId="27" fillId="0" borderId="0" xfId="34" applyNumberFormat="1" applyFont="1" applyFill="1" applyBorder="1" applyAlignment="1" applyProtection="1">
      <alignment horizontal="right"/>
    </xf>
    <xf numFmtId="0" fontId="55" fillId="4" borderId="0" xfId="34" applyNumberFormat="1" applyFont="1" applyFill="1" applyBorder="1" applyAlignment="1" applyProtection="1">
      <alignment horizontal="center" vertical="center"/>
    </xf>
    <xf numFmtId="0" fontId="26" fillId="0" borderId="0" xfId="34" applyNumberFormat="1" applyFont="1" applyBorder="1" applyAlignment="1" applyProtection="1">
      <alignment horizontal="center" vertical="center"/>
    </xf>
    <xf numFmtId="37" fontId="53" fillId="5" borderId="0" xfId="34" applyNumberFormat="1" applyFont="1" applyFill="1" applyBorder="1" applyAlignment="1" applyProtection="1">
      <alignment horizontal="left"/>
    </xf>
    <xf numFmtId="37" fontId="26" fillId="0" borderId="0" xfId="34" applyNumberFormat="1" applyFont="1" applyFill="1" applyProtection="1"/>
    <xf numFmtId="41" fontId="27" fillId="0" borderId="0" xfId="34" applyNumberFormat="1" applyFont="1" applyFill="1" applyAlignment="1" applyProtection="1">
      <alignment horizontal="right"/>
    </xf>
    <xf numFmtId="170" fontId="3" fillId="0" borderId="0" xfId="11" applyNumberFormat="1" applyFont="1" applyFill="1" applyProtection="1"/>
    <xf numFmtId="170" fontId="4" fillId="0" borderId="0" xfId="11" applyNumberFormat="1" applyFont="1" applyFill="1" applyProtection="1"/>
    <xf numFmtId="41" fontId="26" fillId="0" borderId="0" xfId="34" applyNumberFormat="1" applyFont="1" applyFill="1" applyAlignment="1" applyProtection="1">
      <alignment horizontal="right"/>
    </xf>
    <xf numFmtId="0" fontId="11" fillId="0" borderId="0" xfId="11" applyFont="1" applyFill="1" applyProtection="1"/>
    <xf numFmtId="168" fontId="74" fillId="0" borderId="0" xfId="11" applyNumberFormat="1" applyFont="1" applyFill="1" applyProtection="1"/>
    <xf numFmtId="168" fontId="11" fillId="0" borderId="0" xfId="11" applyNumberFormat="1" applyFont="1" applyFill="1" applyProtection="1"/>
    <xf numFmtId="37" fontId="10" fillId="0" borderId="0" xfId="34" applyNumberFormat="1" applyFont="1" applyFill="1" applyProtection="1"/>
    <xf numFmtId="166" fontId="6" fillId="0" borderId="0" xfId="34" applyNumberFormat="1" applyFont="1" applyProtection="1"/>
    <xf numFmtId="166" fontId="5" fillId="0" borderId="0" xfId="34" quotePrefix="1" applyNumberFormat="1" applyFont="1" applyFill="1" applyBorder="1" applyAlignment="1" applyProtection="1">
      <alignment horizontal="left"/>
    </xf>
    <xf numFmtId="166" fontId="8" fillId="0" borderId="0" xfId="34" applyNumberFormat="1" applyFont="1" applyFill="1" applyProtection="1"/>
    <xf numFmtId="166" fontId="10" fillId="0" borderId="0" xfId="34" applyNumberFormat="1" applyFont="1" applyFill="1" applyBorder="1" applyProtection="1"/>
    <xf numFmtId="37" fontId="10" fillId="0" borderId="0" xfId="34" applyNumberFormat="1" applyFont="1" applyFill="1" applyBorder="1" applyProtection="1"/>
    <xf numFmtId="37" fontId="51" fillId="0" borderId="0" xfId="34" applyNumberFormat="1" applyFont="1" applyFill="1" applyBorder="1" applyAlignment="1" applyProtection="1">
      <alignment horizontal="centerContinuous"/>
    </xf>
    <xf numFmtId="37" fontId="10" fillId="0" borderId="0" xfId="34" applyNumberFormat="1" applyFont="1" applyBorder="1" applyProtection="1"/>
    <xf numFmtId="166" fontId="8" fillId="0" borderId="0" xfId="34" applyNumberFormat="1" applyFont="1" applyProtection="1"/>
    <xf numFmtId="49" fontId="27" fillId="0" borderId="0" xfId="34" applyNumberFormat="1" applyFont="1" applyFill="1" applyBorder="1" applyAlignment="1" applyProtection="1">
      <alignment horizontal="center"/>
    </xf>
    <xf numFmtId="170" fontId="26" fillId="0" borderId="0" xfId="34" applyNumberFormat="1" applyFont="1" applyAlignment="1" applyProtection="1">
      <alignment horizontal="left"/>
    </xf>
    <xf numFmtId="166" fontId="1" fillId="0" borderId="0" xfId="34" applyNumberFormat="1" applyFont="1" applyProtection="1"/>
    <xf numFmtId="168" fontId="27" fillId="0" borderId="0" xfId="31" applyNumberFormat="1" applyFont="1" applyFill="1" applyBorder="1" applyAlignment="1" applyProtection="1">
      <alignment horizontal="center"/>
    </xf>
    <xf numFmtId="0" fontId="26" fillId="0" borderId="0" xfId="34" applyNumberFormat="1" applyFont="1" applyBorder="1" applyAlignment="1">
      <alignment horizontal="left"/>
    </xf>
    <xf numFmtId="166" fontId="25" fillId="0" borderId="0" xfId="34" applyNumberFormat="1" applyFont="1" applyBorder="1" applyProtection="1"/>
    <xf numFmtId="37" fontId="10" fillId="0" borderId="0" xfId="34" applyNumberFormat="1" applyFont="1" applyProtection="1"/>
    <xf numFmtId="166" fontId="10" fillId="0" borderId="0" xfId="34" applyNumberFormat="1" applyFont="1" applyProtection="1"/>
    <xf numFmtId="166" fontId="10" fillId="0" borderId="0" xfId="34" applyNumberFormat="1" applyFont="1" applyFill="1" applyProtection="1"/>
    <xf numFmtId="166" fontId="8" fillId="0" borderId="0" xfId="34" applyNumberFormat="1" applyFont="1" applyFill="1" applyBorder="1" applyProtection="1"/>
    <xf numFmtId="0" fontId="4" fillId="0" borderId="0" xfId="11" applyNumberFormat="1" applyFont="1" applyFill="1" applyBorder="1" applyAlignment="1" applyProtection="1">
      <alignment horizontal="left" vertical="center"/>
    </xf>
    <xf numFmtId="0" fontId="26" fillId="0" borderId="0" xfId="34" applyNumberFormat="1" applyFont="1" applyFill="1" applyBorder="1" applyAlignment="1" applyProtection="1">
      <alignment horizontal="center" vertical="center"/>
    </xf>
    <xf numFmtId="37" fontId="53" fillId="5" borderId="0" xfId="34" applyNumberFormat="1" applyFont="1" applyFill="1" applyBorder="1" applyAlignment="1" applyProtection="1">
      <alignment horizontal="center"/>
    </xf>
    <xf numFmtId="37" fontId="53" fillId="0" borderId="0" xfId="34" applyNumberFormat="1" applyFont="1" applyFill="1" applyBorder="1" applyAlignment="1" applyProtection="1">
      <alignment horizontal="center"/>
    </xf>
    <xf numFmtId="0" fontId="25" fillId="0" borderId="0" xfId="34" applyFont="1"/>
    <xf numFmtId="49" fontId="52" fillId="4" borderId="0" xfId="9" applyNumberFormat="1" applyFont="1" applyFill="1" applyBorder="1" applyAlignment="1" applyProtection="1">
      <alignment horizontal="center" vertical="center"/>
    </xf>
    <xf numFmtId="37" fontId="26" fillId="0" borderId="0" xfId="0" quotePrefix="1" applyNumberFormat="1" applyFont="1" applyFill="1" applyAlignment="1" applyProtection="1">
      <alignment horizontal="left" wrapText="1"/>
    </xf>
    <xf numFmtId="49" fontId="52" fillId="4" borderId="0" xfId="0" applyNumberFormat="1" applyFont="1" applyFill="1" applyBorder="1" applyAlignment="1" applyProtection="1">
      <alignment horizontal="center" vertical="center"/>
    </xf>
    <xf numFmtId="0" fontId="35" fillId="0" borderId="0" xfId="7" applyFont="1" applyAlignment="1" applyProtection="1">
      <alignment horizontal="center"/>
    </xf>
    <xf numFmtId="37" fontId="53" fillId="0" borderId="0" xfId="0" applyNumberFormat="1" applyFont="1" applyFill="1" applyBorder="1" applyAlignment="1" applyProtection="1">
      <alignment horizontal="center"/>
    </xf>
    <xf numFmtId="41" fontId="7" fillId="0" borderId="0" xfId="34" applyNumberFormat="1" applyFont="1" applyProtection="1"/>
    <xf numFmtId="37" fontId="4" fillId="0" borderId="0" xfId="34" applyNumberFormat="1" applyFont="1" applyAlignment="1" applyProtection="1">
      <alignment horizontal="centerContinuous"/>
    </xf>
    <xf numFmtId="37" fontId="4" fillId="0" borderId="0" xfId="34" applyNumberFormat="1" applyFont="1" applyFill="1" applyAlignment="1" applyProtection="1">
      <alignment horizontal="centerContinuous"/>
    </xf>
    <xf numFmtId="37" fontId="9" fillId="0" borderId="0" xfId="34" applyNumberFormat="1" applyFont="1" applyFill="1" applyAlignment="1" applyProtection="1">
      <alignment horizontal="centerContinuous"/>
    </xf>
    <xf numFmtId="37" fontId="10" fillId="0" borderId="0" xfId="34" applyNumberFormat="1" applyFont="1" applyFill="1" applyAlignment="1" applyProtection="1">
      <alignment horizontal="centerContinuous"/>
    </xf>
    <xf numFmtId="37" fontId="9" fillId="0" borderId="0" xfId="34" applyNumberFormat="1" applyFont="1" applyAlignment="1" applyProtection="1">
      <alignment horizontal="centerContinuous"/>
    </xf>
    <xf numFmtId="37" fontId="10" fillId="0" borderId="0" xfId="34" applyNumberFormat="1" applyFont="1" applyAlignment="1" applyProtection="1">
      <alignment horizontal="centerContinuous"/>
    </xf>
    <xf numFmtId="37" fontId="4" fillId="0" borderId="0" xfId="34" applyNumberFormat="1" applyFont="1" applyAlignment="1" applyProtection="1">
      <alignment horizontal="left"/>
    </xf>
    <xf numFmtId="37" fontId="4" fillId="0" borderId="0" xfId="34" applyNumberFormat="1" applyFont="1" applyFill="1" applyAlignment="1" applyProtection="1">
      <alignment horizontal="left"/>
    </xf>
    <xf numFmtId="166" fontId="1" fillId="0" borderId="0" xfId="34" applyNumberFormat="1" applyFont="1" applyFill="1" applyProtection="1"/>
    <xf numFmtId="37" fontId="26" fillId="0" borderId="0" xfId="34" quotePrefix="1" applyNumberFormat="1" applyFont="1" applyAlignment="1" applyProtection="1">
      <alignment horizontal="left"/>
    </xf>
    <xf numFmtId="37" fontId="3" fillId="0" borderId="0" xfId="34" quotePrefix="1" applyNumberFormat="1" applyFont="1" applyAlignment="1" applyProtection="1">
      <alignment horizontal="left"/>
    </xf>
    <xf numFmtId="168" fontId="4" fillId="0" borderId="0" xfId="21" quotePrefix="1" applyNumberFormat="1" applyFont="1" applyAlignment="1" applyProtection="1">
      <alignment horizontal="left"/>
    </xf>
    <xf numFmtId="168" fontId="4" fillId="0" borderId="0" xfId="21" quotePrefix="1" applyNumberFormat="1" applyFont="1" applyFill="1" applyAlignment="1" applyProtection="1">
      <alignment horizontal="left"/>
    </xf>
    <xf numFmtId="168" fontId="4" fillId="0" borderId="0" xfId="21" applyNumberFormat="1" applyFont="1" applyFill="1" applyProtection="1"/>
    <xf numFmtId="168" fontId="11" fillId="0" borderId="0" xfId="21" applyNumberFormat="1" applyFont="1" applyProtection="1"/>
    <xf numFmtId="170" fontId="3" fillId="0" borderId="0" xfId="0" applyNumberFormat="1" applyFont="1" applyAlignment="1" applyProtection="1">
      <alignment horizontal="left"/>
    </xf>
    <xf numFmtId="49" fontId="27" fillId="0" borderId="10" xfId="34" applyNumberFormat="1" applyFont="1" applyFill="1" applyBorder="1" applyAlignment="1" applyProtection="1">
      <alignment horizontal="center"/>
    </xf>
    <xf numFmtId="170" fontId="26" fillId="0" borderId="0" xfId="0" quotePrefix="1" applyNumberFormat="1" applyFont="1" applyFill="1" applyBorder="1" applyAlignment="1" applyProtection="1">
      <alignment horizontal="left"/>
    </xf>
    <xf numFmtId="166" fontId="1" fillId="0" borderId="0" xfId="0" applyNumberFormat="1" applyFont="1" applyProtection="1"/>
    <xf numFmtId="49" fontId="6" fillId="0" borderId="11" xfId="0" quotePrefix="1" applyNumberFormat="1" applyFont="1" applyFill="1" applyBorder="1" applyAlignment="1" applyProtection="1">
      <alignment horizontal="left" vertical="center" wrapText="1"/>
    </xf>
    <xf numFmtId="0" fontId="1" fillId="0" borderId="0" xfId="0" applyFont="1"/>
    <xf numFmtId="0" fontId="1" fillId="0" borderId="0" xfId="0" applyFont="1" applyFill="1"/>
    <xf numFmtId="171" fontId="26" fillId="6" borderId="0" xfId="21" quotePrefix="1" applyNumberFormat="1" applyFont="1" applyFill="1" applyAlignment="1" applyProtection="1">
      <alignment horizontal="right"/>
    </xf>
    <xf numFmtId="49" fontId="52" fillId="4" borderId="0" xfId="0" applyNumberFormat="1" applyFont="1" applyFill="1" applyBorder="1" applyAlignment="1" applyProtection="1">
      <alignment horizontal="center" vertical="center"/>
    </xf>
    <xf numFmtId="0" fontId="35" fillId="0" borderId="0" xfId="7" applyFont="1" applyAlignment="1" applyProtection="1">
      <alignment horizontal="center"/>
    </xf>
    <xf numFmtId="37" fontId="26" fillId="0" borderId="0" xfId="0" quotePrefix="1" applyNumberFormat="1" applyFont="1" applyFill="1" applyAlignment="1" applyProtection="1">
      <alignment vertical="center" wrapText="1"/>
    </xf>
    <xf numFmtId="3" fontId="27" fillId="6" borderId="0" xfId="31" applyNumberFormat="1" applyFont="1" applyFill="1" applyAlignment="1" applyProtection="1">
      <alignment horizontal="right"/>
    </xf>
    <xf numFmtId="170" fontId="27" fillId="0" borderId="0" xfId="34" applyNumberFormat="1" applyFont="1" applyFill="1" applyAlignment="1" applyProtection="1">
      <alignment horizontal="left"/>
    </xf>
    <xf numFmtId="49" fontId="53" fillId="5" borderId="11" xfId="21" applyNumberFormat="1" applyFont="1" applyFill="1" applyBorder="1" applyAlignment="1" applyProtection="1">
      <alignment horizontal="left"/>
    </xf>
    <xf numFmtId="49" fontId="53" fillId="5" borderId="11" xfId="21" applyNumberFormat="1" applyFont="1" applyFill="1" applyBorder="1" applyAlignment="1" applyProtection="1">
      <alignment horizontal="left" wrapText="1"/>
    </xf>
    <xf numFmtId="49" fontId="52" fillId="4" borderId="0" xfId="0" applyNumberFormat="1" applyFont="1" applyFill="1" applyBorder="1" applyAlignment="1" applyProtection="1">
      <alignment horizontal="center" vertical="center"/>
    </xf>
    <xf numFmtId="0" fontId="64" fillId="0" borderId="0" xfId="0" applyFont="1"/>
    <xf numFmtId="177" fontId="27" fillId="6" borderId="0" xfId="12" applyNumberFormat="1" applyFont="1" applyFill="1" applyAlignment="1" applyProtection="1">
      <alignment horizontal="right"/>
    </xf>
    <xf numFmtId="177" fontId="27" fillId="5" borderId="11" xfId="12" applyNumberFormat="1" applyFont="1" applyFill="1" applyBorder="1" applyAlignment="1" applyProtection="1">
      <alignment horizontal="center"/>
    </xf>
    <xf numFmtId="177" fontId="27" fillId="6" borderId="14" xfId="12" applyNumberFormat="1" applyFont="1" applyFill="1" applyBorder="1" applyAlignment="1" applyProtection="1">
      <alignment horizontal="right"/>
    </xf>
    <xf numFmtId="49" fontId="6" fillId="0" borderId="11" xfId="34" quotePrefix="1" applyNumberFormat="1" applyFont="1" applyFill="1" applyBorder="1" applyAlignment="1" applyProtection="1">
      <alignment horizontal="left" wrapText="1"/>
    </xf>
    <xf numFmtId="166" fontId="7" fillId="0" borderId="0" xfId="0" applyNumberFormat="1" applyFont="1" applyProtection="1"/>
    <xf numFmtId="41" fontId="4" fillId="6" borderId="0" xfId="11" applyNumberFormat="1" applyFont="1" applyFill="1" applyBorder="1" applyAlignment="1" applyProtection="1">
      <alignment horizontal="right"/>
    </xf>
    <xf numFmtId="49" fontId="52" fillId="4" borderId="0" xfId="0" applyNumberFormat="1" applyFont="1" applyFill="1" applyBorder="1" applyAlignment="1" applyProtection="1">
      <alignment horizontal="center" vertical="center"/>
    </xf>
    <xf numFmtId="49" fontId="6" fillId="7" borderId="11" xfId="0" quotePrefix="1" applyNumberFormat="1" applyFont="1" applyFill="1" applyBorder="1" applyAlignment="1" applyProtection="1">
      <alignment horizontal="left"/>
    </xf>
    <xf numFmtId="49" fontId="6" fillId="7" borderId="11" xfId="34" quotePrefix="1" applyNumberFormat="1" applyFont="1" applyFill="1" applyBorder="1" applyAlignment="1" applyProtection="1">
      <alignment horizontal="left"/>
    </xf>
    <xf numFmtId="49" fontId="6" fillId="7" borderId="11" xfId="34" quotePrefix="1" applyNumberFormat="1" applyFont="1" applyFill="1" applyBorder="1" applyAlignment="1" applyProtection="1">
      <alignment horizontal="left" wrapText="1"/>
    </xf>
    <xf numFmtId="37" fontId="26" fillId="7" borderId="0" xfId="34" quotePrefix="1" applyNumberFormat="1" applyFont="1" applyFill="1" applyAlignment="1" applyProtection="1">
      <alignment wrapText="1"/>
    </xf>
    <xf numFmtId="41" fontId="26" fillId="6" borderId="0" xfId="11" applyNumberFormat="1" applyFont="1" applyFill="1" applyBorder="1" applyAlignment="1" applyProtection="1"/>
    <xf numFmtId="37" fontId="26" fillId="7" borderId="0" xfId="0" quotePrefix="1" applyNumberFormat="1" applyFont="1" applyFill="1" applyAlignment="1" applyProtection="1">
      <alignment horizontal="left" wrapText="1"/>
    </xf>
    <xf numFmtId="168" fontId="26" fillId="5" borderId="0" xfId="31" applyNumberFormat="1" applyFont="1" applyFill="1" applyAlignment="1" applyProtection="1">
      <alignment horizontal="right"/>
    </xf>
    <xf numFmtId="168" fontId="27" fillId="5" borderId="0" xfId="31" applyNumberFormat="1" applyFont="1" applyFill="1" applyAlignment="1" applyProtection="1">
      <alignment horizontal="right"/>
    </xf>
    <xf numFmtId="37" fontId="75" fillId="0" borderId="0" xfId="0" applyNumberFormat="1" applyFont="1" applyFill="1" applyBorder="1" applyAlignment="1" applyProtection="1">
      <alignment horizontal="center"/>
    </xf>
    <xf numFmtId="168" fontId="27" fillId="0" borderId="0" xfId="21" applyNumberFormat="1" applyFont="1" applyProtection="1"/>
    <xf numFmtId="0" fontId="4" fillId="0" borderId="0" xfId="11" applyFont="1" applyFill="1" applyProtection="1"/>
    <xf numFmtId="43" fontId="26" fillId="0" borderId="0" xfId="21" applyFont="1" applyFill="1" applyProtection="1"/>
    <xf numFmtId="0" fontId="61" fillId="9" borderId="0" xfId="0" applyFont="1" applyFill="1" applyBorder="1" applyAlignment="1">
      <alignment horizontal="center" vertical="center"/>
    </xf>
    <xf numFmtId="0" fontId="61" fillId="10" borderId="0" xfId="0" applyFont="1" applyFill="1" applyAlignment="1">
      <alignment horizontal="center" vertical="center"/>
    </xf>
    <xf numFmtId="0" fontId="62" fillId="0" borderId="0" xfId="0" quotePrefix="1" applyFont="1" applyFill="1" applyBorder="1" applyAlignment="1">
      <alignment horizontal="right" wrapText="1"/>
    </xf>
    <xf numFmtId="0" fontId="27" fillId="0" borderId="0" xfId="0" applyNumberFormat="1" applyFont="1" applyBorder="1" applyAlignment="1" applyProtection="1">
      <alignment horizontal="center" vertical="center"/>
    </xf>
    <xf numFmtId="0" fontId="63" fillId="4" borderId="0" xfId="11" applyNumberFormat="1" applyFont="1" applyFill="1" applyBorder="1" applyAlignment="1" applyProtection="1">
      <alignment horizontal="center" vertical="center"/>
    </xf>
    <xf numFmtId="0" fontId="63" fillId="4" borderId="0" xfId="11" quotePrefix="1" applyNumberFormat="1" applyFont="1" applyFill="1" applyBorder="1" applyAlignment="1" applyProtection="1">
      <alignment horizontal="center" vertical="center"/>
    </xf>
    <xf numFmtId="49" fontId="56" fillId="5" borderId="0" xfId="0" applyNumberFormat="1" applyFont="1" applyFill="1" applyBorder="1" applyAlignment="1" applyProtection="1">
      <alignment horizontal="center" vertical="center" wrapText="1"/>
    </xf>
    <xf numFmtId="17" fontId="63" fillId="4" borderId="0" xfId="11" quotePrefix="1" applyNumberFormat="1" applyFont="1" applyFill="1" applyBorder="1" applyAlignment="1" applyProtection="1">
      <alignment horizontal="center" vertical="center"/>
    </xf>
    <xf numFmtId="17" fontId="63" fillId="4" borderId="0" xfId="11" applyNumberFormat="1" applyFont="1" applyFill="1" applyBorder="1" applyAlignment="1" applyProtection="1">
      <alignment horizontal="center" vertical="center"/>
    </xf>
    <xf numFmtId="49" fontId="52" fillId="4" borderId="0" xfId="9" applyNumberFormat="1" applyFont="1" applyFill="1" applyBorder="1" applyAlignment="1" applyProtection="1">
      <alignment horizontal="center" vertical="center"/>
    </xf>
    <xf numFmtId="49" fontId="52" fillId="4" borderId="0" xfId="0" applyNumberFormat="1" applyFont="1" applyFill="1" applyBorder="1" applyAlignment="1" applyProtection="1">
      <alignment horizontal="center" vertical="center"/>
    </xf>
    <xf numFmtId="0" fontId="35" fillId="0" borderId="0" xfId="7" applyFont="1" applyAlignment="1" applyProtection="1">
      <alignment horizontal="center"/>
    </xf>
    <xf numFmtId="37" fontId="51" fillId="0" borderId="0" xfId="0" applyNumberFormat="1" applyFont="1" applyFill="1" applyAlignment="1" applyProtection="1">
      <alignment horizontal="center" wrapText="1"/>
    </xf>
    <xf numFmtId="0" fontId="0" fillId="0" borderId="0" xfId="0" applyFill="1" applyAlignment="1">
      <alignment wrapText="1"/>
    </xf>
    <xf numFmtId="0" fontId="54" fillId="5" borderId="0" xfId="11" applyNumberFormat="1" applyFont="1" applyFill="1" applyBorder="1" applyAlignment="1" applyProtection="1">
      <alignment horizontal="center" vertical="center"/>
    </xf>
    <xf numFmtId="0" fontId="54" fillId="8" borderId="0" xfId="11" applyNumberFormat="1" applyFont="1" applyFill="1" applyBorder="1" applyAlignment="1" applyProtection="1">
      <alignment horizontal="center" vertical="center"/>
    </xf>
    <xf numFmtId="0" fontId="54" fillId="8" borderId="12" xfId="11" applyNumberFormat="1" applyFont="1" applyFill="1" applyBorder="1" applyAlignment="1" applyProtection="1">
      <alignment horizontal="center" vertical="center" wrapText="1"/>
    </xf>
    <xf numFmtId="0" fontId="54" fillId="5" borderId="0" xfId="11" applyFont="1" applyFill="1" applyBorder="1" applyAlignment="1" applyProtection="1">
      <alignment horizontal="center" vertical="center"/>
    </xf>
  </cellXfs>
  <cellStyles count="35">
    <cellStyle name="_60746948000112" xfId="1"/>
    <cellStyle name="_Resultado 09.2005.xls" xfId="2"/>
    <cellStyle name="_Resultado 12.2005" xfId="3"/>
    <cellStyle name="_Resultado 12.2005-" xfId="4"/>
    <cellStyle name="_Resultado 12.2006" xfId="5"/>
    <cellStyle name="Estilo 1" xfId="6"/>
    <cellStyle name="Hiperlink" xfId="7" builtinId="8"/>
    <cellStyle name="Hyperlink_Séries Históricas - Patrimonial Transferência" xfId="8"/>
    <cellStyle name="Normal" xfId="0" builtinId="0"/>
    <cellStyle name="Normal 10" xfId="9"/>
    <cellStyle name="Normal 10 2" xfId="34"/>
    <cellStyle name="Normal 2" xfId="29"/>
    <cellStyle name="Normal 2 3" xfId="33"/>
    <cellStyle name="Normal 3" xfId="30"/>
    <cellStyle name="Normal_Resultado 12.2005-" xfId="10"/>
    <cellStyle name="Normal_Resultado 12.2006" xfId="11"/>
    <cellStyle name="Porcentagem" xfId="12" builtinId="5"/>
    <cellStyle name="Porcentagem 2 2" xfId="13"/>
    <cellStyle name="Separador de milhares 2" xfId="14"/>
    <cellStyle name="Separador de milhares 2 2" xfId="15"/>
    <cellStyle name="Separador de milhares 2 5" xfId="16"/>
    <cellStyle name="Separador de milhares 3 10" xfId="17"/>
    <cellStyle name="Separador de milhares 3 2" xfId="18"/>
    <cellStyle name="Separador de milhares 3 4" xfId="19"/>
    <cellStyle name="Separador de milhares_Séries Históricas - Patrimonial Transferência" xfId="20"/>
    <cellStyle name="Vírgula" xfId="21" builtinId="3"/>
    <cellStyle name="Vírgula 10" xfId="22"/>
    <cellStyle name="Vírgula 2" xfId="32"/>
    <cellStyle name="Vírgula 2 3" xfId="23"/>
    <cellStyle name="Vírgula 2 3 2" xfId="31"/>
    <cellStyle name="Vírgula 3 2" xfId="24"/>
    <cellStyle name="Vírgula 7" xfId="25"/>
    <cellStyle name="Vírgula 8 2" xfId="26"/>
    <cellStyle name="Vírgula 8 2 2" xfId="27"/>
    <cellStyle name="Vírgula 9" xfId="2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externalLink" Target="externalLinks/externalLink1.xml"/><Relationship Id="rId45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52191</xdr:colOff>
      <xdr:row>0</xdr:row>
      <xdr:rowOff>144016</xdr:rowOff>
    </xdr:from>
    <xdr:to>
      <xdr:col>4</xdr:col>
      <xdr:colOff>1538484</xdr:colOff>
      <xdr:row>2</xdr:row>
      <xdr:rowOff>151258</xdr:rowOff>
    </xdr:to>
    <xdr:pic>
      <xdr:nvPicPr>
        <xdr:cNvPr id="630174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5116" y="144016"/>
          <a:ext cx="1857768" cy="4644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1</xdr:row>
      <xdr:rowOff>9525</xdr:rowOff>
    </xdr:from>
    <xdr:to>
      <xdr:col>0</xdr:col>
      <xdr:colOff>1343025</xdr:colOff>
      <xdr:row>2</xdr:row>
      <xdr:rowOff>133350</xdr:rowOff>
    </xdr:to>
    <xdr:pic>
      <xdr:nvPicPr>
        <xdr:cNvPr id="625983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200025"/>
          <a:ext cx="12477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1</xdr:row>
      <xdr:rowOff>9525</xdr:rowOff>
    </xdr:from>
    <xdr:to>
      <xdr:col>0</xdr:col>
      <xdr:colOff>1343025</xdr:colOff>
      <xdr:row>2</xdr:row>
      <xdr:rowOff>133350</xdr:rowOff>
    </xdr:to>
    <xdr:pic>
      <xdr:nvPicPr>
        <xdr:cNvPr id="626086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200025"/>
          <a:ext cx="12477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0</xdr:rowOff>
    </xdr:from>
    <xdr:to>
      <xdr:col>0</xdr:col>
      <xdr:colOff>1266825</xdr:colOff>
      <xdr:row>2</xdr:row>
      <xdr:rowOff>123825</xdr:rowOff>
    </xdr:to>
    <xdr:pic>
      <xdr:nvPicPr>
        <xdr:cNvPr id="627714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190500"/>
          <a:ext cx="11811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1</xdr:row>
      <xdr:rowOff>9525</xdr:rowOff>
    </xdr:from>
    <xdr:to>
      <xdr:col>0</xdr:col>
      <xdr:colOff>1343025</xdr:colOff>
      <xdr:row>2</xdr:row>
      <xdr:rowOff>133350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200025"/>
          <a:ext cx="12477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1</xdr:row>
      <xdr:rowOff>9525</xdr:rowOff>
    </xdr:from>
    <xdr:to>
      <xdr:col>0</xdr:col>
      <xdr:colOff>1343025</xdr:colOff>
      <xdr:row>2</xdr:row>
      <xdr:rowOff>133350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200025"/>
          <a:ext cx="12477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1</xdr:row>
      <xdr:rowOff>9525</xdr:rowOff>
    </xdr:from>
    <xdr:to>
      <xdr:col>0</xdr:col>
      <xdr:colOff>1343025</xdr:colOff>
      <xdr:row>2</xdr:row>
      <xdr:rowOff>133350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200025"/>
          <a:ext cx="12477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0</xdr:rowOff>
    </xdr:from>
    <xdr:to>
      <xdr:col>0</xdr:col>
      <xdr:colOff>1266825</xdr:colOff>
      <xdr:row>2</xdr:row>
      <xdr:rowOff>123825</xdr:rowOff>
    </xdr:to>
    <xdr:pic>
      <xdr:nvPicPr>
        <xdr:cNvPr id="627305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190500"/>
          <a:ext cx="11811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0</xdr:colOff>
      <xdr:row>13</xdr:row>
      <xdr:rowOff>0</xdr:rowOff>
    </xdr:from>
    <xdr:to>
      <xdr:col>37</xdr:col>
      <xdr:colOff>0</xdr:colOff>
      <xdr:row>13</xdr:row>
      <xdr:rowOff>0</xdr:rowOff>
    </xdr:to>
    <xdr:sp macro="" textlink="">
      <xdr:nvSpPr>
        <xdr:cNvPr id="38913" name="Texto 13"/>
        <xdr:cNvSpPr txBox="1">
          <a:spLocks noChangeArrowheads="1"/>
        </xdr:cNvSpPr>
      </xdr:nvSpPr>
      <xdr:spPr bwMode="auto">
        <a:xfrm>
          <a:off x="10677525" y="26479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13</xdr:row>
      <xdr:rowOff>0</xdr:rowOff>
    </xdr:from>
    <xdr:to>
      <xdr:col>37</xdr:col>
      <xdr:colOff>0</xdr:colOff>
      <xdr:row>13</xdr:row>
      <xdr:rowOff>0</xdr:rowOff>
    </xdr:to>
    <xdr:sp macro="" textlink="">
      <xdr:nvSpPr>
        <xdr:cNvPr id="38915" name="Texto 13"/>
        <xdr:cNvSpPr txBox="1">
          <a:spLocks noChangeArrowheads="1"/>
        </xdr:cNvSpPr>
      </xdr:nvSpPr>
      <xdr:spPr bwMode="auto">
        <a:xfrm>
          <a:off x="10677525" y="26479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13</xdr:row>
      <xdr:rowOff>0</xdr:rowOff>
    </xdr:from>
    <xdr:to>
      <xdr:col>37</xdr:col>
      <xdr:colOff>0</xdr:colOff>
      <xdr:row>13</xdr:row>
      <xdr:rowOff>0</xdr:rowOff>
    </xdr:to>
    <xdr:sp macro="" textlink="">
      <xdr:nvSpPr>
        <xdr:cNvPr id="38916" name="Texto 13"/>
        <xdr:cNvSpPr txBox="1">
          <a:spLocks noChangeArrowheads="1"/>
        </xdr:cNvSpPr>
      </xdr:nvSpPr>
      <xdr:spPr bwMode="auto">
        <a:xfrm>
          <a:off x="10677525" y="26479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13</xdr:row>
      <xdr:rowOff>0</xdr:rowOff>
    </xdr:from>
    <xdr:to>
      <xdr:col>37</xdr:col>
      <xdr:colOff>0</xdr:colOff>
      <xdr:row>13</xdr:row>
      <xdr:rowOff>0</xdr:rowOff>
    </xdr:to>
    <xdr:sp macro="" textlink="">
      <xdr:nvSpPr>
        <xdr:cNvPr id="38917" name="Texto 13"/>
        <xdr:cNvSpPr txBox="1">
          <a:spLocks noChangeArrowheads="1"/>
        </xdr:cNvSpPr>
      </xdr:nvSpPr>
      <xdr:spPr bwMode="auto">
        <a:xfrm>
          <a:off x="10677525" y="26479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13</xdr:row>
      <xdr:rowOff>0</xdr:rowOff>
    </xdr:from>
    <xdr:to>
      <xdr:col>37</xdr:col>
      <xdr:colOff>0</xdr:colOff>
      <xdr:row>13</xdr:row>
      <xdr:rowOff>0</xdr:rowOff>
    </xdr:to>
    <xdr:sp macro="" textlink="">
      <xdr:nvSpPr>
        <xdr:cNvPr id="38918" name="Texto 13"/>
        <xdr:cNvSpPr txBox="1">
          <a:spLocks noChangeArrowheads="1"/>
        </xdr:cNvSpPr>
      </xdr:nvSpPr>
      <xdr:spPr bwMode="auto">
        <a:xfrm>
          <a:off x="10677525" y="26479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13</xdr:row>
      <xdr:rowOff>0</xdr:rowOff>
    </xdr:from>
    <xdr:to>
      <xdr:col>37</xdr:col>
      <xdr:colOff>0</xdr:colOff>
      <xdr:row>13</xdr:row>
      <xdr:rowOff>0</xdr:rowOff>
    </xdr:to>
    <xdr:sp macro="" textlink="">
      <xdr:nvSpPr>
        <xdr:cNvPr id="38919" name="Texto 13"/>
        <xdr:cNvSpPr txBox="1">
          <a:spLocks noChangeArrowheads="1"/>
        </xdr:cNvSpPr>
      </xdr:nvSpPr>
      <xdr:spPr bwMode="auto">
        <a:xfrm>
          <a:off x="10677525" y="26479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13</xdr:row>
      <xdr:rowOff>0</xdr:rowOff>
    </xdr:from>
    <xdr:to>
      <xdr:col>37</xdr:col>
      <xdr:colOff>0</xdr:colOff>
      <xdr:row>13</xdr:row>
      <xdr:rowOff>0</xdr:rowOff>
    </xdr:to>
    <xdr:sp macro="" textlink="">
      <xdr:nvSpPr>
        <xdr:cNvPr id="38920" name="Texto 13"/>
        <xdr:cNvSpPr txBox="1">
          <a:spLocks noChangeArrowheads="1"/>
        </xdr:cNvSpPr>
      </xdr:nvSpPr>
      <xdr:spPr bwMode="auto">
        <a:xfrm>
          <a:off x="10677525" y="26479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 editAs="oneCell">
    <xdr:from>
      <xdr:col>0</xdr:col>
      <xdr:colOff>85725</xdr:colOff>
      <xdr:row>1</xdr:row>
      <xdr:rowOff>9525</xdr:rowOff>
    </xdr:from>
    <xdr:to>
      <xdr:col>0</xdr:col>
      <xdr:colOff>1276350</xdr:colOff>
      <xdr:row>2</xdr:row>
      <xdr:rowOff>133350</xdr:rowOff>
    </xdr:to>
    <xdr:pic>
      <xdr:nvPicPr>
        <xdr:cNvPr id="627838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200025"/>
          <a:ext cx="119062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0</xdr:colOff>
      <xdr:row>28</xdr:row>
      <xdr:rowOff>0</xdr:rowOff>
    </xdr:from>
    <xdr:to>
      <xdr:col>36</xdr:col>
      <xdr:colOff>0</xdr:colOff>
      <xdr:row>28</xdr:row>
      <xdr:rowOff>0</xdr:rowOff>
    </xdr:to>
    <xdr:sp macro="" textlink="">
      <xdr:nvSpPr>
        <xdr:cNvPr id="39937" name="Texto 13"/>
        <xdr:cNvSpPr txBox="1">
          <a:spLocks noChangeArrowheads="1"/>
        </xdr:cNvSpPr>
      </xdr:nvSpPr>
      <xdr:spPr bwMode="auto">
        <a:xfrm>
          <a:off x="11706225" y="55626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36</xdr:col>
      <xdr:colOff>0</xdr:colOff>
      <xdr:row>28</xdr:row>
      <xdr:rowOff>0</xdr:rowOff>
    </xdr:from>
    <xdr:to>
      <xdr:col>36</xdr:col>
      <xdr:colOff>0</xdr:colOff>
      <xdr:row>28</xdr:row>
      <xdr:rowOff>0</xdr:rowOff>
    </xdr:to>
    <xdr:sp macro="" textlink="">
      <xdr:nvSpPr>
        <xdr:cNvPr id="39939" name="Texto 13"/>
        <xdr:cNvSpPr txBox="1">
          <a:spLocks noChangeArrowheads="1"/>
        </xdr:cNvSpPr>
      </xdr:nvSpPr>
      <xdr:spPr bwMode="auto">
        <a:xfrm>
          <a:off x="11706225" y="55626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36</xdr:col>
      <xdr:colOff>0</xdr:colOff>
      <xdr:row>28</xdr:row>
      <xdr:rowOff>0</xdr:rowOff>
    </xdr:from>
    <xdr:to>
      <xdr:col>36</xdr:col>
      <xdr:colOff>0</xdr:colOff>
      <xdr:row>28</xdr:row>
      <xdr:rowOff>0</xdr:rowOff>
    </xdr:to>
    <xdr:sp macro="" textlink="">
      <xdr:nvSpPr>
        <xdr:cNvPr id="39940" name="Texto 13"/>
        <xdr:cNvSpPr txBox="1">
          <a:spLocks noChangeArrowheads="1"/>
        </xdr:cNvSpPr>
      </xdr:nvSpPr>
      <xdr:spPr bwMode="auto">
        <a:xfrm>
          <a:off x="11706225" y="55626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36</xdr:col>
      <xdr:colOff>0</xdr:colOff>
      <xdr:row>28</xdr:row>
      <xdr:rowOff>0</xdr:rowOff>
    </xdr:from>
    <xdr:to>
      <xdr:col>36</xdr:col>
      <xdr:colOff>0</xdr:colOff>
      <xdr:row>28</xdr:row>
      <xdr:rowOff>0</xdr:rowOff>
    </xdr:to>
    <xdr:sp macro="" textlink="">
      <xdr:nvSpPr>
        <xdr:cNvPr id="39941" name="Texto 13"/>
        <xdr:cNvSpPr txBox="1">
          <a:spLocks noChangeArrowheads="1"/>
        </xdr:cNvSpPr>
      </xdr:nvSpPr>
      <xdr:spPr bwMode="auto">
        <a:xfrm>
          <a:off x="11706225" y="55626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36</xdr:col>
      <xdr:colOff>0</xdr:colOff>
      <xdr:row>28</xdr:row>
      <xdr:rowOff>0</xdr:rowOff>
    </xdr:from>
    <xdr:to>
      <xdr:col>36</xdr:col>
      <xdr:colOff>0</xdr:colOff>
      <xdr:row>28</xdr:row>
      <xdr:rowOff>0</xdr:rowOff>
    </xdr:to>
    <xdr:sp macro="" textlink="">
      <xdr:nvSpPr>
        <xdr:cNvPr id="39942" name="Texto 13"/>
        <xdr:cNvSpPr txBox="1">
          <a:spLocks noChangeArrowheads="1"/>
        </xdr:cNvSpPr>
      </xdr:nvSpPr>
      <xdr:spPr bwMode="auto">
        <a:xfrm>
          <a:off x="11706225" y="55626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36</xdr:col>
      <xdr:colOff>0</xdr:colOff>
      <xdr:row>28</xdr:row>
      <xdr:rowOff>0</xdr:rowOff>
    </xdr:from>
    <xdr:to>
      <xdr:col>36</xdr:col>
      <xdr:colOff>0</xdr:colOff>
      <xdr:row>28</xdr:row>
      <xdr:rowOff>0</xdr:rowOff>
    </xdr:to>
    <xdr:sp macro="" textlink="">
      <xdr:nvSpPr>
        <xdr:cNvPr id="39943" name="Texto 13"/>
        <xdr:cNvSpPr txBox="1">
          <a:spLocks noChangeArrowheads="1"/>
        </xdr:cNvSpPr>
      </xdr:nvSpPr>
      <xdr:spPr bwMode="auto">
        <a:xfrm>
          <a:off x="11706225" y="55626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36</xdr:col>
      <xdr:colOff>0</xdr:colOff>
      <xdr:row>28</xdr:row>
      <xdr:rowOff>0</xdr:rowOff>
    </xdr:from>
    <xdr:to>
      <xdr:col>36</xdr:col>
      <xdr:colOff>0</xdr:colOff>
      <xdr:row>28</xdr:row>
      <xdr:rowOff>0</xdr:rowOff>
    </xdr:to>
    <xdr:sp macro="" textlink="">
      <xdr:nvSpPr>
        <xdr:cNvPr id="39944" name="Texto 13"/>
        <xdr:cNvSpPr txBox="1">
          <a:spLocks noChangeArrowheads="1"/>
        </xdr:cNvSpPr>
      </xdr:nvSpPr>
      <xdr:spPr bwMode="auto">
        <a:xfrm>
          <a:off x="11706225" y="55626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 editAs="oneCell">
    <xdr:from>
      <xdr:col>0</xdr:col>
      <xdr:colOff>95250</xdr:colOff>
      <xdr:row>1</xdr:row>
      <xdr:rowOff>9525</xdr:rowOff>
    </xdr:from>
    <xdr:to>
      <xdr:col>0</xdr:col>
      <xdr:colOff>1285875</xdr:colOff>
      <xdr:row>2</xdr:row>
      <xdr:rowOff>133350</xdr:rowOff>
    </xdr:to>
    <xdr:pic>
      <xdr:nvPicPr>
        <xdr:cNvPr id="627940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200025"/>
          <a:ext cx="119062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75</xdr:col>
      <xdr:colOff>0</xdr:colOff>
      <xdr:row>20</xdr:row>
      <xdr:rowOff>0</xdr:rowOff>
    </xdr:from>
    <xdr:to>
      <xdr:col>75</xdr:col>
      <xdr:colOff>0</xdr:colOff>
      <xdr:row>20</xdr:row>
      <xdr:rowOff>0</xdr:rowOff>
    </xdr:to>
    <xdr:sp macro="" textlink="">
      <xdr:nvSpPr>
        <xdr:cNvPr id="2" name="Texto 13"/>
        <xdr:cNvSpPr txBox="1">
          <a:spLocks noChangeArrowheads="1"/>
        </xdr:cNvSpPr>
      </xdr:nvSpPr>
      <xdr:spPr bwMode="auto">
        <a:xfrm>
          <a:off x="41967150" y="3705225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75</xdr:col>
      <xdr:colOff>0</xdr:colOff>
      <xdr:row>20</xdr:row>
      <xdr:rowOff>0</xdr:rowOff>
    </xdr:from>
    <xdr:to>
      <xdr:col>75</xdr:col>
      <xdr:colOff>0</xdr:colOff>
      <xdr:row>20</xdr:row>
      <xdr:rowOff>0</xdr:rowOff>
    </xdr:to>
    <xdr:sp macro="" textlink="">
      <xdr:nvSpPr>
        <xdr:cNvPr id="3" name="Texto 13"/>
        <xdr:cNvSpPr txBox="1">
          <a:spLocks noChangeArrowheads="1"/>
        </xdr:cNvSpPr>
      </xdr:nvSpPr>
      <xdr:spPr bwMode="auto">
        <a:xfrm>
          <a:off x="41967150" y="3705225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75</xdr:col>
      <xdr:colOff>0</xdr:colOff>
      <xdr:row>20</xdr:row>
      <xdr:rowOff>0</xdr:rowOff>
    </xdr:from>
    <xdr:to>
      <xdr:col>75</xdr:col>
      <xdr:colOff>0</xdr:colOff>
      <xdr:row>20</xdr:row>
      <xdr:rowOff>0</xdr:rowOff>
    </xdr:to>
    <xdr:sp macro="" textlink="">
      <xdr:nvSpPr>
        <xdr:cNvPr id="4" name="Texto 13"/>
        <xdr:cNvSpPr txBox="1">
          <a:spLocks noChangeArrowheads="1"/>
        </xdr:cNvSpPr>
      </xdr:nvSpPr>
      <xdr:spPr bwMode="auto">
        <a:xfrm>
          <a:off x="41967150" y="3705225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75</xdr:col>
      <xdr:colOff>0</xdr:colOff>
      <xdr:row>20</xdr:row>
      <xdr:rowOff>0</xdr:rowOff>
    </xdr:from>
    <xdr:to>
      <xdr:col>75</xdr:col>
      <xdr:colOff>0</xdr:colOff>
      <xdr:row>20</xdr:row>
      <xdr:rowOff>0</xdr:rowOff>
    </xdr:to>
    <xdr:sp macro="" textlink="">
      <xdr:nvSpPr>
        <xdr:cNvPr id="5" name="Texto 13"/>
        <xdr:cNvSpPr txBox="1">
          <a:spLocks noChangeArrowheads="1"/>
        </xdr:cNvSpPr>
      </xdr:nvSpPr>
      <xdr:spPr bwMode="auto">
        <a:xfrm>
          <a:off x="41967150" y="3705225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75</xdr:col>
      <xdr:colOff>0</xdr:colOff>
      <xdr:row>20</xdr:row>
      <xdr:rowOff>0</xdr:rowOff>
    </xdr:from>
    <xdr:to>
      <xdr:col>75</xdr:col>
      <xdr:colOff>0</xdr:colOff>
      <xdr:row>20</xdr:row>
      <xdr:rowOff>0</xdr:rowOff>
    </xdr:to>
    <xdr:sp macro="" textlink="">
      <xdr:nvSpPr>
        <xdr:cNvPr id="6" name="Texto 13"/>
        <xdr:cNvSpPr txBox="1">
          <a:spLocks noChangeArrowheads="1"/>
        </xdr:cNvSpPr>
      </xdr:nvSpPr>
      <xdr:spPr bwMode="auto">
        <a:xfrm>
          <a:off x="41967150" y="3705225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75</xdr:col>
      <xdr:colOff>0</xdr:colOff>
      <xdr:row>20</xdr:row>
      <xdr:rowOff>0</xdr:rowOff>
    </xdr:from>
    <xdr:to>
      <xdr:col>75</xdr:col>
      <xdr:colOff>0</xdr:colOff>
      <xdr:row>20</xdr:row>
      <xdr:rowOff>0</xdr:rowOff>
    </xdr:to>
    <xdr:sp macro="" textlink="">
      <xdr:nvSpPr>
        <xdr:cNvPr id="7" name="Texto 13"/>
        <xdr:cNvSpPr txBox="1">
          <a:spLocks noChangeArrowheads="1"/>
        </xdr:cNvSpPr>
      </xdr:nvSpPr>
      <xdr:spPr bwMode="auto">
        <a:xfrm>
          <a:off x="41967150" y="3705225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75</xdr:col>
      <xdr:colOff>0</xdr:colOff>
      <xdr:row>20</xdr:row>
      <xdr:rowOff>0</xdr:rowOff>
    </xdr:from>
    <xdr:to>
      <xdr:col>75</xdr:col>
      <xdr:colOff>0</xdr:colOff>
      <xdr:row>20</xdr:row>
      <xdr:rowOff>0</xdr:rowOff>
    </xdr:to>
    <xdr:sp macro="" textlink="">
      <xdr:nvSpPr>
        <xdr:cNvPr id="8" name="Texto 13"/>
        <xdr:cNvSpPr txBox="1">
          <a:spLocks noChangeArrowheads="1"/>
        </xdr:cNvSpPr>
      </xdr:nvSpPr>
      <xdr:spPr bwMode="auto">
        <a:xfrm>
          <a:off x="41967150" y="3705225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75</xdr:col>
      <xdr:colOff>0</xdr:colOff>
      <xdr:row>20</xdr:row>
      <xdr:rowOff>0</xdr:rowOff>
    </xdr:from>
    <xdr:to>
      <xdr:col>75</xdr:col>
      <xdr:colOff>0</xdr:colOff>
      <xdr:row>20</xdr:row>
      <xdr:rowOff>0</xdr:rowOff>
    </xdr:to>
    <xdr:sp macro="" textlink="">
      <xdr:nvSpPr>
        <xdr:cNvPr id="9" name="Texto 13"/>
        <xdr:cNvSpPr txBox="1">
          <a:spLocks noChangeArrowheads="1"/>
        </xdr:cNvSpPr>
      </xdr:nvSpPr>
      <xdr:spPr bwMode="auto">
        <a:xfrm>
          <a:off x="41967150" y="3705225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75</xdr:col>
      <xdr:colOff>0</xdr:colOff>
      <xdr:row>20</xdr:row>
      <xdr:rowOff>0</xdr:rowOff>
    </xdr:from>
    <xdr:to>
      <xdr:col>75</xdr:col>
      <xdr:colOff>0</xdr:colOff>
      <xdr:row>20</xdr:row>
      <xdr:rowOff>0</xdr:rowOff>
    </xdr:to>
    <xdr:sp macro="" textlink="">
      <xdr:nvSpPr>
        <xdr:cNvPr id="10" name="Texto 13"/>
        <xdr:cNvSpPr txBox="1">
          <a:spLocks noChangeArrowheads="1"/>
        </xdr:cNvSpPr>
      </xdr:nvSpPr>
      <xdr:spPr bwMode="auto">
        <a:xfrm>
          <a:off x="41967150" y="3705225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75</xdr:col>
      <xdr:colOff>0</xdr:colOff>
      <xdr:row>20</xdr:row>
      <xdr:rowOff>0</xdr:rowOff>
    </xdr:from>
    <xdr:to>
      <xdr:col>75</xdr:col>
      <xdr:colOff>0</xdr:colOff>
      <xdr:row>20</xdr:row>
      <xdr:rowOff>0</xdr:rowOff>
    </xdr:to>
    <xdr:sp macro="" textlink="">
      <xdr:nvSpPr>
        <xdr:cNvPr id="11" name="Texto 13"/>
        <xdr:cNvSpPr txBox="1">
          <a:spLocks noChangeArrowheads="1"/>
        </xdr:cNvSpPr>
      </xdr:nvSpPr>
      <xdr:spPr bwMode="auto">
        <a:xfrm>
          <a:off x="41967150" y="3705225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75</xdr:col>
      <xdr:colOff>0</xdr:colOff>
      <xdr:row>20</xdr:row>
      <xdr:rowOff>0</xdr:rowOff>
    </xdr:from>
    <xdr:to>
      <xdr:col>75</xdr:col>
      <xdr:colOff>0</xdr:colOff>
      <xdr:row>20</xdr:row>
      <xdr:rowOff>0</xdr:rowOff>
    </xdr:to>
    <xdr:sp macro="" textlink="">
      <xdr:nvSpPr>
        <xdr:cNvPr id="12" name="Texto 13"/>
        <xdr:cNvSpPr txBox="1">
          <a:spLocks noChangeArrowheads="1"/>
        </xdr:cNvSpPr>
      </xdr:nvSpPr>
      <xdr:spPr bwMode="auto">
        <a:xfrm>
          <a:off x="41967150" y="3705225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75</xdr:col>
      <xdr:colOff>0</xdr:colOff>
      <xdr:row>20</xdr:row>
      <xdr:rowOff>0</xdr:rowOff>
    </xdr:from>
    <xdr:to>
      <xdr:col>75</xdr:col>
      <xdr:colOff>0</xdr:colOff>
      <xdr:row>20</xdr:row>
      <xdr:rowOff>0</xdr:rowOff>
    </xdr:to>
    <xdr:sp macro="" textlink="">
      <xdr:nvSpPr>
        <xdr:cNvPr id="13" name="Texto 13"/>
        <xdr:cNvSpPr txBox="1">
          <a:spLocks noChangeArrowheads="1"/>
        </xdr:cNvSpPr>
      </xdr:nvSpPr>
      <xdr:spPr bwMode="auto">
        <a:xfrm>
          <a:off x="41967150" y="3705225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75</xdr:col>
      <xdr:colOff>0</xdr:colOff>
      <xdr:row>20</xdr:row>
      <xdr:rowOff>0</xdr:rowOff>
    </xdr:from>
    <xdr:to>
      <xdr:col>75</xdr:col>
      <xdr:colOff>0</xdr:colOff>
      <xdr:row>20</xdr:row>
      <xdr:rowOff>0</xdr:rowOff>
    </xdr:to>
    <xdr:sp macro="" textlink="">
      <xdr:nvSpPr>
        <xdr:cNvPr id="14" name="Texto 13"/>
        <xdr:cNvSpPr txBox="1">
          <a:spLocks noChangeArrowheads="1"/>
        </xdr:cNvSpPr>
      </xdr:nvSpPr>
      <xdr:spPr bwMode="auto">
        <a:xfrm>
          <a:off x="41967150" y="3705225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75</xdr:col>
      <xdr:colOff>0</xdr:colOff>
      <xdr:row>20</xdr:row>
      <xdr:rowOff>0</xdr:rowOff>
    </xdr:from>
    <xdr:to>
      <xdr:col>75</xdr:col>
      <xdr:colOff>0</xdr:colOff>
      <xdr:row>20</xdr:row>
      <xdr:rowOff>0</xdr:rowOff>
    </xdr:to>
    <xdr:sp macro="" textlink="">
      <xdr:nvSpPr>
        <xdr:cNvPr id="15" name="Texto 13"/>
        <xdr:cNvSpPr txBox="1">
          <a:spLocks noChangeArrowheads="1"/>
        </xdr:cNvSpPr>
      </xdr:nvSpPr>
      <xdr:spPr bwMode="auto">
        <a:xfrm>
          <a:off x="41967150" y="3705225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oneCellAnchor>
    <xdr:from>
      <xdr:col>0</xdr:col>
      <xdr:colOff>66675</xdr:colOff>
      <xdr:row>1</xdr:row>
      <xdr:rowOff>0</xdr:rowOff>
    </xdr:from>
    <xdr:ext cx="1181100" cy="314325"/>
    <xdr:pic>
      <xdr:nvPicPr>
        <xdr:cNvPr id="1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190500"/>
          <a:ext cx="11811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0</xdr:colOff>
      <xdr:row>14</xdr:row>
      <xdr:rowOff>0</xdr:rowOff>
    </xdr:from>
    <xdr:to>
      <xdr:col>37</xdr:col>
      <xdr:colOff>0</xdr:colOff>
      <xdr:row>14</xdr:row>
      <xdr:rowOff>0</xdr:rowOff>
    </xdr:to>
    <xdr:sp macro="" textlink="">
      <xdr:nvSpPr>
        <xdr:cNvPr id="41985" name="Texto 13"/>
        <xdr:cNvSpPr txBox="1">
          <a:spLocks noChangeArrowheads="1"/>
        </xdr:cNvSpPr>
      </xdr:nvSpPr>
      <xdr:spPr bwMode="auto">
        <a:xfrm>
          <a:off x="13096875" y="28956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14</xdr:row>
      <xdr:rowOff>0</xdr:rowOff>
    </xdr:from>
    <xdr:to>
      <xdr:col>37</xdr:col>
      <xdr:colOff>0</xdr:colOff>
      <xdr:row>14</xdr:row>
      <xdr:rowOff>0</xdr:rowOff>
    </xdr:to>
    <xdr:sp macro="" textlink="">
      <xdr:nvSpPr>
        <xdr:cNvPr id="41987" name="Texto 13"/>
        <xdr:cNvSpPr txBox="1">
          <a:spLocks noChangeArrowheads="1"/>
        </xdr:cNvSpPr>
      </xdr:nvSpPr>
      <xdr:spPr bwMode="auto">
        <a:xfrm>
          <a:off x="13096875" y="28956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14</xdr:row>
      <xdr:rowOff>0</xdr:rowOff>
    </xdr:from>
    <xdr:to>
      <xdr:col>37</xdr:col>
      <xdr:colOff>0</xdr:colOff>
      <xdr:row>14</xdr:row>
      <xdr:rowOff>0</xdr:rowOff>
    </xdr:to>
    <xdr:sp macro="" textlink="">
      <xdr:nvSpPr>
        <xdr:cNvPr id="41988" name="Texto 13"/>
        <xdr:cNvSpPr txBox="1">
          <a:spLocks noChangeArrowheads="1"/>
        </xdr:cNvSpPr>
      </xdr:nvSpPr>
      <xdr:spPr bwMode="auto">
        <a:xfrm>
          <a:off x="13096875" y="28956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14</xdr:row>
      <xdr:rowOff>0</xdr:rowOff>
    </xdr:from>
    <xdr:to>
      <xdr:col>37</xdr:col>
      <xdr:colOff>0</xdr:colOff>
      <xdr:row>14</xdr:row>
      <xdr:rowOff>0</xdr:rowOff>
    </xdr:to>
    <xdr:sp macro="" textlink="">
      <xdr:nvSpPr>
        <xdr:cNvPr id="41989" name="Texto 13"/>
        <xdr:cNvSpPr txBox="1">
          <a:spLocks noChangeArrowheads="1"/>
        </xdr:cNvSpPr>
      </xdr:nvSpPr>
      <xdr:spPr bwMode="auto">
        <a:xfrm>
          <a:off x="13096875" y="28956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14</xdr:row>
      <xdr:rowOff>0</xdr:rowOff>
    </xdr:from>
    <xdr:to>
      <xdr:col>37</xdr:col>
      <xdr:colOff>0</xdr:colOff>
      <xdr:row>14</xdr:row>
      <xdr:rowOff>0</xdr:rowOff>
    </xdr:to>
    <xdr:sp macro="" textlink="">
      <xdr:nvSpPr>
        <xdr:cNvPr id="41990" name="Texto 13"/>
        <xdr:cNvSpPr txBox="1">
          <a:spLocks noChangeArrowheads="1"/>
        </xdr:cNvSpPr>
      </xdr:nvSpPr>
      <xdr:spPr bwMode="auto">
        <a:xfrm>
          <a:off x="13096875" y="28956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14</xdr:row>
      <xdr:rowOff>0</xdr:rowOff>
    </xdr:from>
    <xdr:to>
      <xdr:col>37</xdr:col>
      <xdr:colOff>0</xdr:colOff>
      <xdr:row>14</xdr:row>
      <xdr:rowOff>0</xdr:rowOff>
    </xdr:to>
    <xdr:sp macro="" textlink="">
      <xdr:nvSpPr>
        <xdr:cNvPr id="41991" name="Texto 13"/>
        <xdr:cNvSpPr txBox="1">
          <a:spLocks noChangeArrowheads="1"/>
        </xdr:cNvSpPr>
      </xdr:nvSpPr>
      <xdr:spPr bwMode="auto">
        <a:xfrm>
          <a:off x="13096875" y="28956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14</xdr:row>
      <xdr:rowOff>0</xdr:rowOff>
    </xdr:from>
    <xdr:to>
      <xdr:col>37</xdr:col>
      <xdr:colOff>0</xdr:colOff>
      <xdr:row>14</xdr:row>
      <xdr:rowOff>0</xdr:rowOff>
    </xdr:to>
    <xdr:sp macro="" textlink="">
      <xdr:nvSpPr>
        <xdr:cNvPr id="41992" name="Texto 13"/>
        <xdr:cNvSpPr txBox="1">
          <a:spLocks noChangeArrowheads="1"/>
        </xdr:cNvSpPr>
      </xdr:nvSpPr>
      <xdr:spPr bwMode="auto">
        <a:xfrm>
          <a:off x="13096875" y="28956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14</xdr:row>
      <xdr:rowOff>0</xdr:rowOff>
    </xdr:from>
    <xdr:to>
      <xdr:col>37</xdr:col>
      <xdr:colOff>0</xdr:colOff>
      <xdr:row>14</xdr:row>
      <xdr:rowOff>0</xdr:rowOff>
    </xdr:to>
    <xdr:sp macro="" textlink="">
      <xdr:nvSpPr>
        <xdr:cNvPr id="41993" name="Texto 13"/>
        <xdr:cNvSpPr txBox="1">
          <a:spLocks noChangeArrowheads="1"/>
        </xdr:cNvSpPr>
      </xdr:nvSpPr>
      <xdr:spPr bwMode="auto">
        <a:xfrm>
          <a:off x="13096875" y="28956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14</xdr:row>
      <xdr:rowOff>0</xdr:rowOff>
    </xdr:from>
    <xdr:to>
      <xdr:col>37</xdr:col>
      <xdr:colOff>0</xdr:colOff>
      <xdr:row>14</xdr:row>
      <xdr:rowOff>0</xdr:rowOff>
    </xdr:to>
    <xdr:sp macro="" textlink="">
      <xdr:nvSpPr>
        <xdr:cNvPr id="41995" name="Texto 13"/>
        <xdr:cNvSpPr txBox="1">
          <a:spLocks noChangeArrowheads="1"/>
        </xdr:cNvSpPr>
      </xdr:nvSpPr>
      <xdr:spPr bwMode="auto">
        <a:xfrm>
          <a:off x="13096875" y="28956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14</xdr:row>
      <xdr:rowOff>0</xdr:rowOff>
    </xdr:from>
    <xdr:to>
      <xdr:col>37</xdr:col>
      <xdr:colOff>0</xdr:colOff>
      <xdr:row>14</xdr:row>
      <xdr:rowOff>0</xdr:rowOff>
    </xdr:to>
    <xdr:sp macro="" textlink="">
      <xdr:nvSpPr>
        <xdr:cNvPr id="41996" name="Texto 13"/>
        <xdr:cNvSpPr txBox="1">
          <a:spLocks noChangeArrowheads="1"/>
        </xdr:cNvSpPr>
      </xdr:nvSpPr>
      <xdr:spPr bwMode="auto">
        <a:xfrm>
          <a:off x="13096875" y="28956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14</xdr:row>
      <xdr:rowOff>0</xdr:rowOff>
    </xdr:from>
    <xdr:to>
      <xdr:col>37</xdr:col>
      <xdr:colOff>0</xdr:colOff>
      <xdr:row>14</xdr:row>
      <xdr:rowOff>0</xdr:rowOff>
    </xdr:to>
    <xdr:sp macro="" textlink="">
      <xdr:nvSpPr>
        <xdr:cNvPr id="41997" name="Texto 13"/>
        <xdr:cNvSpPr txBox="1">
          <a:spLocks noChangeArrowheads="1"/>
        </xdr:cNvSpPr>
      </xdr:nvSpPr>
      <xdr:spPr bwMode="auto">
        <a:xfrm>
          <a:off x="13096875" y="28956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14</xdr:row>
      <xdr:rowOff>0</xdr:rowOff>
    </xdr:from>
    <xdr:to>
      <xdr:col>37</xdr:col>
      <xdr:colOff>0</xdr:colOff>
      <xdr:row>14</xdr:row>
      <xdr:rowOff>0</xdr:rowOff>
    </xdr:to>
    <xdr:sp macro="" textlink="">
      <xdr:nvSpPr>
        <xdr:cNvPr id="41998" name="Texto 13"/>
        <xdr:cNvSpPr txBox="1">
          <a:spLocks noChangeArrowheads="1"/>
        </xdr:cNvSpPr>
      </xdr:nvSpPr>
      <xdr:spPr bwMode="auto">
        <a:xfrm>
          <a:off x="13096875" y="28956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14</xdr:row>
      <xdr:rowOff>0</xdr:rowOff>
    </xdr:from>
    <xdr:to>
      <xdr:col>37</xdr:col>
      <xdr:colOff>0</xdr:colOff>
      <xdr:row>14</xdr:row>
      <xdr:rowOff>0</xdr:rowOff>
    </xdr:to>
    <xdr:sp macro="" textlink="">
      <xdr:nvSpPr>
        <xdr:cNvPr id="41999" name="Texto 13"/>
        <xdr:cNvSpPr txBox="1">
          <a:spLocks noChangeArrowheads="1"/>
        </xdr:cNvSpPr>
      </xdr:nvSpPr>
      <xdr:spPr bwMode="auto">
        <a:xfrm>
          <a:off x="13096875" y="28956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14</xdr:row>
      <xdr:rowOff>0</xdr:rowOff>
    </xdr:from>
    <xdr:to>
      <xdr:col>37</xdr:col>
      <xdr:colOff>0</xdr:colOff>
      <xdr:row>14</xdr:row>
      <xdr:rowOff>0</xdr:rowOff>
    </xdr:to>
    <xdr:sp macro="" textlink="">
      <xdr:nvSpPr>
        <xdr:cNvPr id="42000" name="Texto 13"/>
        <xdr:cNvSpPr txBox="1">
          <a:spLocks noChangeArrowheads="1"/>
        </xdr:cNvSpPr>
      </xdr:nvSpPr>
      <xdr:spPr bwMode="auto">
        <a:xfrm>
          <a:off x="13096875" y="28956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 editAs="oneCell">
    <xdr:from>
      <xdr:col>0</xdr:col>
      <xdr:colOff>66675</xdr:colOff>
      <xdr:row>1</xdr:row>
      <xdr:rowOff>9525</xdr:rowOff>
    </xdr:from>
    <xdr:to>
      <xdr:col>0</xdr:col>
      <xdr:colOff>1238250</xdr:colOff>
      <xdr:row>2</xdr:row>
      <xdr:rowOff>133350</xdr:rowOff>
    </xdr:to>
    <xdr:pic>
      <xdr:nvPicPr>
        <xdr:cNvPr id="628166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200025"/>
          <a:ext cx="11715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37</xdr:col>
      <xdr:colOff>0</xdr:colOff>
      <xdr:row>14</xdr:row>
      <xdr:rowOff>0</xdr:rowOff>
    </xdr:from>
    <xdr:to>
      <xdr:col>37</xdr:col>
      <xdr:colOff>0</xdr:colOff>
      <xdr:row>14</xdr:row>
      <xdr:rowOff>0</xdr:rowOff>
    </xdr:to>
    <xdr:sp macro="" textlink="">
      <xdr:nvSpPr>
        <xdr:cNvPr id="17" name="Texto 13"/>
        <xdr:cNvSpPr txBox="1">
          <a:spLocks noChangeArrowheads="1"/>
        </xdr:cNvSpPr>
      </xdr:nvSpPr>
      <xdr:spPr bwMode="auto">
        <a:xfrm>
          <a:off x="29070300" y="26479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14</xdr:row>
      <xdr:rowOff>0</xdr:rowOff>
    </xdr:from>
    <xdr:to>
      <xdr:col>37</xdr:col>
      <xdr:colOff>0</xdr:colOff>
      <xdr:row>14</xdr:row>
      <xdr:rowOff>0</xdr:rowOff>
    </xdr:to>
    <xdr:sp macro="" textlink="">
      <xdr:nvSpPr>
        <xdr:cNvPr id="18" name="Texto 13"/>
        <xdr:cNvSpPr txBox="1">
          <a:spLocks noChangeArrowheads="1"/>
        </xdr:cNvSpPr>
      </xdr:nvSpPr>
      <xdr:spPr bwMode="auto">
        <a:xfrm>
          <a:off x="29070300" y="26479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14</xdr:row>
      <xdr:rowOff>0</xdr:rowOff>
    </xdr:from>
    <xdr:to>
      <xdr:col>37</xdr:col>
      <xdr:colOff>0</xdr:colOff>
      <xdr:row>14</xdr:row>
      <xdr:rowOff>0</xdr:rowOff>
    </xdr:to>
    <xdr:sp macro="" textlink="">
      <xdr:nvSpPr>
        <xdr:cNvPr id="19" name="Texto 13"/>
        <xdr:cNvSpPr txBox="1">
          <a:spLocks noChangeArrowheads="1"/>
        </xdr:cNvSpPr>
      </xdr:nvSpPr>
      <xdr:spPr bwMode="auto">
        <a:xfrm>
          <a:off x="29070300" y="26479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14</xdr:row>
      <xdr:rowOff>0</xdr:rowOff>
    </xdr:from>
    <xdr:to>
      <xdr:col>37</xdr:col>
      <xdr:colOff>0</xdr:colOff>
      <xdr:row>14</xdr:row>
      <xdr:rowOff>0</xdr:rowOff>
    </xdr:to>
    <xdr:sp macro="" textlink="">
      <xdr:nvSpPr>
        <xdr:cNvPr id="20" name="Texto 13"/>
        <xdr:cNvSpPr txBox="1">
          <a:spLocks noChangeArrowheads="1"/>
        </xdr:cNvSpPr>
      </xdr:nvSpPr>
      <xdr:spPr bwMode="auto">
        <a:xfrm>
          <a:off x="29070300" y="26479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14</xdr:row>
      <xdr:rowOff>0</xdr:rowOff>
    </xdr:from>
    <xdr:to>
      <xdr:col>37</xdr:col>
      <xdr:colOff>0</xdr:colOff>
      <xdr:row>14</xdr:row>
      <xdr:rowOff>0</xdr:rowOff>
    </xdr:to>
    <xdr:sp macro="" textlink="">
      <xdr:nvSpPr>
        <xdr:cNvPr id="21" name="Texto 13"/>
        <xdr:cNvSpPr txBox="1">
          <a:spLocks noChangeArrowheads="1"/>
        </xdr:cNvSpPr>
      </xdr:nvSpPr>
      <xdr:spPr bwMode="auto">
        <a:xfrm>
          <a:off x="29070300" y="26479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14</xdr:row>
      <xdr:rowOff>0</xdr:rowOff>
    </xdr:from>
    <xdr:to>
      <xdr:col>37</xdr:col>
      <xdr:colOff>0</xdr:colOff>
      <xdr:row>14</xdr:row>
      <xdr:rowOff>0</xdr:rowOff>
    </xdr:to>
    <xdr:sp macro="" textlink="">
      <xdr:nvSpPr>
        <xdr:cNvPr id="22" name="Texto 13"/>
        <xdr:cNvSpPr txBox="1">
          <a:spLocks noChangeArrowheads="1"/>
        </xdr:cNvSpPr>
      </xdr:nvSpPr>
      <xdr:spPr bwMode="auto">
        <a:xfrm>
          <a:off x="29070300" y="26479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14</xdr:row>
      <xdr:rowOff>0</xdr:rowOff>
    </xdr:from>
    <xdr:to>
      <xdr:col>37</xdr:col>
      <xdr:colOff>0</xdr:colOff>
      <xdr:row>14</xdr:row>
      <xdr:rowOff>0</xdr:rowOff>
    </xdr:to>
    <xdr:sp macro="" textlink="">
      <xdr:nvSpPr>
        <xdr:cNvPr id="23" name="Texto 13"/>
        <xdr:cNvSpPr txBox="1">
          <a:spLocks noChangeArrowheads="1"/>
        </xdr:cNvSpPr>
      </xdr:nvSpPr>
      <xdr:spPr bwMode="auto">
        <a:xfrm>
          <a:off x="29070300" y="26479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14</xdr:row>
      <xdr:rowOff>0</xdr:rowOff>
    </xdr:from>
    <xdr:to>
      <xdr:col>37</xdr:col>
      <xdr:colOff>0</xdr:colOff>
      <xdr:row>14</xdr:row>
      <xdr:rowOff>0</xdr:rowOff>
    </xdr:to>
    <xdr:sp macro="" textlink="">
      <xdr:nvSpPr>
        <xdr:cNvPr id="24" name="Texto 13"/>
        <xdr:cNvSpPr txBox="1">
          <a:spLocks noChangeArrowheads="1"/>
        </xdr:cNvSpPr>
      </xdr:nvSpPr>
      <xdr:spPr bwMode="auto">
        <a:xfrm>
          <a:off x="29070300" y="26479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14</xdr:row>
      <xdr:rowOff>0</xdr:rowOff>
    </xdr:from>
    <xdr:to>
      <xdr:col>37</xdr:col>
      <xdr:colOff>0</xdr:colOff>
      <xdr:row>14</xdr:row>
      <xdr:rowOff>0</xdr:rowOff>
    </xdr:to>
    <xdr:sp macro="" textlink="">
      <xdr:nvSpPr>
        <xdr:cNvPr id="25" name="Texto 13"/>
        <xdr:cNvSpPr txBox="1">
          <a:spLocks noChangeArrowheads="1"/>
        </xdr:cNvSpPr>
      </xdr:nvSpPr>
      <xdr:spPr bwMode="auto">
        <a:xfrm>
          <a:off x="29070300" y="26479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14</xdr:row>
      <xdr:rowOff>0</xdr:rowOff>
    </xdr:from>
    <xdr:to>
      <xdr:col>37</xdr:col>
      <xdr:colOff>0</xdr:colOff>
      <xdr:row>14</xdr:row>
      <xdr:rowOff>0</xdr:rowOff>
    </xdr:to>
    <xdr:sp macro="" textlink="">
      <xdr:nvSpPr>
        <xdr:cNvPr id="26" name="Texto 13"/>
        <xdr:cNvSpPr txBox="1">
          <a:spLocks noChangeArrowheads="1"/>
        </xdr:cNvSpPr>
      </xdr:nvSpPr>
      <xdr:spPr bwMode="auto">
        <a:xfrm>
          <a:off x="29070300" y="26479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14</xdr:row>
      <xdr:rowOff>0</xdr:rowOff>
    </xdr:from>
    <xdr:to>
      <xdr:col>37</xdr:col>
      <xdr:colOff>0</xdr:colOff>
      <xdr:row>14</xdr:row>
      <xdr:rowOff>0</xdr:rowOff>
    </xdr:to>
    <xdr:sp macro="" textlink="">
      <xdr:nvSpPr>
        <xdr:cNvPr id="27" name="Texto 13"/>
        <xdr:cNvSpPr txBox="1">
          <a:spLocks noChangeArrowheads="1"/>
        </xdr:cNvSpPr>
      </xdr:nvSpPr>
      <xdr:spPr bwMode="auto">
        <a:xfrm>
          <a:off x="29070300" y="26479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14</xdr:row>
      <xdr:rowOff>0</xdr:rowOff>
    </xdr:from>
    <xdr:to>
      <xdr:col>37</xdr:col>
      <xdr:colOff>0</xdr:colOff>
      <xdr:row>14</xdr:row>
      <xdr:rowOff>0</xdr:rowOff>
    </xdr:to>
    <xdr:sp macro="" textlink="">
      <xdr:nvSpPr>
        <xdr:cNvPr id="28" name="Texto 13"/>
        <xdr:cNvSpPr txBox="1">
          <a:spLocks noChangeArrowheads="1"/>
        </xdr:cNvSpPr>
      </xdr:nvSpPr>
      <xdr:spPr bwMode="auto">
        <a:xfrm>
          <a:off x="29070300" y="26479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14</xdr:row>
      <xdr:rowOff>0</xdr:rowOff>
    </xdr:from>
    <xdr:to>
      <xdr:col>37</xdr:col>
      <xdr:colOff>0</xdr:colOff>
      <xdr:row>14</xdr:row>
      <xdr:rowOff>0</xdr:rowOff>
    </xdr:to>
    <xdr:sp macro="" textlink="">
      <xdr:nvSpPr>
        <xdr:cNvPr id="29" name="Texto 13"/>
        <xdr:cNvSpPr txBox="1">
          <a:spLocks noChangeArrowheads="1"/>
        </xdr:cNvSpPr>
      </xdr:nvSpPr>
      <xdr:spPr bwMode="auto">
        <a:xfrm>
          <a:off x="29070300" y="26479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14</xdr:row>
      <xdr:rowOff>0</xdr:rowOff>
    </xdr:from>
    <xdr:to>
      <xdr:col>37</xdr:col>
      <xdr:colOff>0</xdr:colOff>
      <xdr:row>14</xdr:row>
      <xdr:rowOff>0</xdr:rowOff>
    </xdr:to>
    <xdr:sp macro="" textlink="">
      <xdr:nvSpPr>
        <xdr:cNvPr id="30" name="Texto 13"/>
        <xdr:cNvSpPr txBox="1">
          <a:spLocks noChangeArrowheads="1"/>
        </xdr:cNvSpPr>
      </xdr:nvSpPr>
      <xdr:spPr bwMode="auto">
        <a:xfrm>
          <a:off x="29070300" y="26479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1</xdr:row>
      <xdr:rowOff>9525</xdr:rowOff>
    </xdr:from>
    <xdr:to>
      <xdr:col>0</xdr:col>
      <xdr:colOff>1238250</xdr:colOff>
      <xdr:row>2</xdr:row>
      <xdr:rowOff>133350</xdr:rowOff>
    </xdr:to>
    <xdr:pic>
      <xdr:nvPicPr>
        <xdr:cNvPr id="1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200025"/>
          <a:ext cx="11715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0</xdr:colOff>
      <xdr:row>11</xdr:row>
      <xdr:rowOff>0</xdr:rowOff>
    </xdr:from>
    <xdr:to>
      <xdr:col>37</xdr:col>
      <xdr:colOff>0</xdr:colOff>
      <xdr:row>11</xdr:row>
      <xdr:rowOff>0</xdr:rowOff>
    </xdr:to>
    <xdr:sp macro="" textlink="">
      <xdr:nvSpPr>
        <xdr:cNvPr id="2" name="Texto 13"/>
        <xdr:cNvSpPr txBox="1">
          <a:spLocks noChangeArrowheads="1"/>
        </xdr:cNvSpPr>
      </xdr:nvSpPr>
      <xdr:spPr bwMode="auto">
        <a:xfrm>
          <a:off x="28098750" y="2171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11</xdr:row>
      <xdr:rowOff>0</xdr:rowOff>
    </xdr:from>
    <xdr:to>
      <xdr:col>37</xdr:col>
      <xdr:colOff>0</xdr:colOff>
      <xdr:row>11</xdr:row>
      <xdr:rowOff>0</xdr:rowOff>
    </xdr:to>
    <xdr:sp macro="" textlink="">
      <xdr:nvSpPr>
        <xdr:cNvPr id="3" name="Texto 13"/>
        <xdr:cNvSpPr txBox="1">
          <a:spLocks noChangeArrowheads="1"/>
        </xdr:cNvSpPr>
      </xdr:nvSpPr>
      <xdr:spPr bwMode="auto">
        <a:xfrm>
          <a:off x="28098750" y="2171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11</xdr:row>
      <xdr:rowOff>0</xdr:rowOff>
    </xdr:from>
    <xdr:to>
      <xdr:col>37</xdr:col>
      <xdr:colOff>0</xdr:colOff>
      <xdr:row>11</xdr:row>
      <xdr:rowOff>0</xdr:rowOff>
    </xdr:to>
    <xdr:sp macro="" textlink="">
      <xdr:nvSpPr>
        <xdr:cNvPr id="4" name="Texto 13"/>
        <xdr:cNvSpPr txBox="1">
          <a:spLocks noChangeArrowheads="1"/>
        </xdr:cNvSpPr>
      </xdr:nvSpPr>
      <xdr:spPr bwMode="auto">
        <a:xfrm>
          <a:off x="28098750" y="2171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11</xdr:row>
      <xdr:rowOff>0</xdr:rowOff>
    </xdr:from>
    <xdr:to>
      <xdr:col>37</xdr:col>
      <xdr:colOff>0</xdr:colOff>
      <xdr:row>11</xdr:row>
      <xdr:rowOff>0</xdr:rowOff>
    </xdr:to>
    <xdr:sp macro="" textlink="">
      <xdr:nvSpPr>
        <xdr:cNvPr id="5" name="Texto 13"/>
        <xdr:cNvSpPr txBox="1">
          <a:spLocks noChangeArrowheads="1"/>
        </xdr:cNvSpPr>
      </xdr:nvSpPr>
      <xdr:spPr bwMode="auto">
        <a:xfrm>
          <a:off x="28098750" y="2171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11</xdr:row>
      <xdr:rowOff>0</xdr:rowOff>
    </xdr:from>
    <xdr:to>
      <xdr:col>37</xdr:col>
      <xdr:colOff>0</xdr:colOff>
      <xdr:row>11</xdr:row>
      <xdr:rowOff>0</xdr:rowOff>
    </xdr:to>
    <xdr:sp macro="" textlink="">
      <xdr:nvSpPr>
        <xdr:cNvPr id="6" name="Texto 13"/>
        <xdr:cNvSpPr txBox="1">
          <a:spLocks noChangeArrowheads="1"/>
        </xdr:cNvSpPr>
      </xdr:nvSpPr>
      <xdr:spPr bwMode="auto">
        <a:xfrm>
          <a:off x="28098750" y="2171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11</xdr:row>
      <xdr:rowOff>0</xdr:rowOff>
    </xdr:from>
    <xdr:to>
      <xdr:col>37</xdr:col>
      <xdr:colOff>0</xdr:colOff>
      <xdr:row>11</xdr:row>
      <xdr:rowOff>0</xdr:rowOff>
    </xdr:to>
    <xdr:sp macro="" textlink="">
      <xdr:nvSpPr>
        <xdr:cNvPr id="7" name="Texto 13"/>
        <xdr:cNvSpPr txBox="1">
          <a:spLocks noChangeArrowheads="1"/>
        </xdr:cNvSpPr>
      </xdr:nvSpPr>
      <xdr:spPr bwMode="auto">
        <a:xfrm>
          <a:off x="28098750" y="2171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11</xdr:row>
      <xdr:rowOff>0</xdr:rowOff>
    </xdr:from>
    <xdr:to>
      <xdr:col>37</xdr:col>
      <xdr:colOff>0</xdr:colOff>
      <xdr:row>11</xdr:row>
      <xdr:rowOff>0</xdr:rowOff>
    </xdr:to>
    <xdr:sp macro="" textlink="">
      <xdr:nvSpPr>
        <xdr:cNvPr id="8" name="Texto 13"/>
        <xdr:cNvSpPr txBox="1">
          <a:spLocks noChangeArrowheads="1"/>
        </xdr:cNvSpPr>
      </xdr:nvSpPr>
      <xdr:spPr bwMode="auto">
        <a:xfrm>
          <a:off x="28098750" y="2171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11</xdr:row>
      <xdr:rowOff>0</xdr:rowOff>
    </xdr:from>
    <xdr:to>
      <xdr:col>37</xdr:col>
      <xdr:colOff>0</xdr:colOff>
      <xdr:row>11</xdr:row>
      <xdr:rowOff>0</xdr:rowOff>
    </xdr:to>
    <xdr:sp macro="" textlink="">
      <xdr:nvSpPr>
        <xdr:cNvPr id="9" name="Texto 13"/>
        <xdr:cNvSpPr txBox="1">
          <a:spLocks noChangeArrowheads="1"/>
        </xdr:cNvSpPr>
      </xdr:nvSpPr>
      <xdr:spPr bwMode="auto">
        <a:xfrm>
          <a:off x="28098750" y="2171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11</xdr:row>
      <xdr:rowOff>0</xdr:rowOff>
    </xdr:from>
    <xdr:to>
      <xdr:col>37</xdr:col>
      <xdr:colOff>0</xdr:colOff>
      <xdr:row>11</xdr:row>
      <xdr:rowOff>0</xdr:rowOff>
    </xdr:to>
    <xdr:sp macro="" textlink="">
      <xdr:nvSpPr>
        <xdr:cNvPr id="10" name="Texto 13"/>
        <xdr:cNvSpPr txBox="1">
          <a:spLocks noChangeArrowheads="1"/>
        </xdr:cNvSpPr>
      </xdr:nvSpPr>
      <xdr:spPr bwMode="auto">
        <a:xfrm>
          <a:off x="28098750" y="2171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11</xdr:row>
      <xdr:rowOff>0</xdr:rowOff>
    </xdr:from>
    <xdr:to>
      <xdr:col>37</xdr:col>
      <xdr:colOff>0</xdr:colOff>
      <xdr:row>11</xdr:row>
      <xdr:rowOff>0</xdr:rowOff>
    </xdr:to>
    <xdr:sp macro="" textlink="">
      <xdr:nvSpPr>
        <xdr:cNvPr id="11" name="Texto 13"/>
        <xdr:cNvSpPr txBox="1">
          <a:spLocks noChangeArrowheads="1"/>
        </xdr:cNvSpPr>
      </xdr:nvSpPr>
      <xdr:spPr bwMode="auto">
        <a:xfrm>
          <a:off x="28098750" y="2171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11</xdr:row>
      <xdr:rowOff>0</xdr:rowOff>
    </xdr:from>
    <xdr:to>
      <xdr:col>37</xdr:col>
      <xdr:colOff>0</xdr:colOff>
      <xdr:row>11</xdr:row>
      <xdr:rowOff>0</xdr:rowOff>
    </xdr:to>
    <xdr:sp macro="" textlink="">
      <xdr:nvSpPr>
        <xdr:cNvPr id="12" name="Texto 13"/>
        <xdr:cNvSpPr txBox="1">
          <a:spLocks noChangeArrowheads="1"/>
        </xdr:cNvSpPr>
      </xdr:nvSpPr>
      <xdr:spPr bwMode="auto">
        <a:xfrm>
          <a:off x="28098750" y="2171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11</xdr:row>
      <xdr:rowOff>0</xdr:rowOff>
    </xdr:from>
    <xdr:to>
      <xdr:col>37</xdr:col>
      <xdr:colOff>0</xdr:colOff>
      <xdr:row>11</xdr:row>
      <xdr:rowOff>0</xdr:rowOff>
    </xdr:to>
    <xdr:sp macro="" textlink="">
      <xdr:nvSpPr>
        <xdr:cNvPr id="13" name="Texto 13"/>
        <xdr:cNvSpPr txBox="1">
          <a:spLocks noChangeArrowheads="1"/>
        </xdr:cNvSpPr>
      </xdr:nvSpPr>
      <xdr:spPr bwMode="auto">
        <a:xfrm>
          <a:off x="28098750" y="2171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11</xdr:row>
      <xdr:rowOff>0</xdr:rowOff>
    </xdr:from>
    <xdr:to>
      <xdr:col>37</xdr:col>
      <xdr:colOff>0</xdr:colOff>
      <xdr:row>11</xdr:row>
      <xdr:rowOff>0</xdr:rowOff>
    </xdr:to>
    <xdr:sp macro="" textlink="">
      <xdr:nvSpPr>
        <xdr:cNvPr id="14" name="Texto 13"/>
        <xdr:cNvSpPr txBox="1">
          <a:spLocks noChangeArrowheads="1"/>
        </xdr:cNvSpPr>
      </xdr:nvSpPr>
      <xdr:spPr bwMode="auto">
        <a:xfrm>
          <a:off x="28098750" y="2171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11</xdr:row>
      <xdr:rowOff>0</xdr:rowOff>
    </xdr:from>
    <xdr:to>
      <xdr:col>37</xdr:col>
      <xdr:colOff>0</xdr:colOff>
      <xdr:row>11</xdr:row>
      <xdr:rowOff>0</xdr:rowOff>
    </xdr:to>
    <xdr:sp macro="" textlink="">
      <xdr:nvSpPr>
        <xdr:cNvPr id="15" name="Texto 13"/>
        <xdr:cNvSpPr txBox="1">
          <a:spLocks noChangeArrowheads="1"/>
        </xdr:cNvSpPr>
      </xdr:nvSpPr>
      <xdr:spPr bwMode="auto">
        <a:xfrm>
          <a:off x="28098750" y="2171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 editAs="oneCell">
    <xdr:from>
      <xdr:col>0</xdr:col>
      <xdr:colOff>47625</xdr:colOff>
      <xdr:row>1</xdr:row>
      <xdr:rowOff>28575</xdr:rowOff>
    </xdr:from>
    <xdr:to>
      <xdr:col>0</xdr:col>
      <xdr:colOff>1228725</xdr:colOff>
      <xdr:row>2</xdr:row>
      <xdr:rowOff>152400</xdr:rowOff>
    </xdr:to>
    <xdr:pic>
      <xdr:nvPicPr>
        <xdr:cNvPr id="1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19075"/>
          <a:ext cx="11811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11</xdr:row>
      <xdr:rowOff>0</xdr:rowOff>
    </xdr:from>
    <xdr:to>
      <xdr:col>10</xdr:col>
      <xdr:colOff>0</xdr:colOff>
      <xdr:row>11</xdr:row>
      <xdr:rowOff>0</xdr:rowOff>
    </xdr:to>
    <xdr:sp macro="" textlink="">
      <xdr:nvSpPr>
        <xdr:cNvPr id="47105" name="Texto 13"/>
        <xdr:cNvSpPr txBox="1">
          <a:spLocks noChangeArrowheads="1"/>
        </xdr:cNvSpPr>
      </xdr:nvSpPr>
      <xdr:spPr bwMode="auto">
        <a:xfrm>
          <a:off x="1061085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10</xdr:col>
      <xdr:colOff>0</xdr:colOff>
      <xdr:row>11</xdr:row>
      <xdr:rowOff>0</xdr:rowOff>
    </xdr:from>
    <xdr:to>
      <xdr:col>10</xdr:col>
      <xdr:colOff>0</xdr:colOff>
      <xdr:row>11</xdr:row>
      <xdr:rowOff>0</xdr:rowOff>
    </xdr:to>
    <xdr:sp macro="" textlink="">
      <xdr:nvSpPr>
        <xdr:cNvPr id="47107" name="Texto 13"/>
        <xdr:cNvSpPr txBox="1">
          <a:spLocks noChangeArrowheads="1"/>
        </xdr:cNvSpPr>
      </xdr:nvSpPr>
      <xdr:spPr bwMode="auto">
        <a:xfrm>
          <a:off x="1061085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10</xdr:col>
      <xdr:colOff>0</xdr:colOff>
      <xdr:row>11</xdr:row>
      <xdr:rowOff>0</xdr:rowOff>
    </xdr:from>
    <xdr:to>
      <xdr:col>10</xdr:col>
      <xdr:colOff>0</xdr:colOff>
      <xdr:row>11</xdr:row>
      <xdr:rowOff>0</xdr:rowOff>
    </xdr:to>
    <xdr:sp macro="" textlink="">
      <xdr:nvSpPr>
        <xdr:cNvPr id="47108" name="Texto 13"/>
        <xdr:cNvSpPr txBox="1">
          <a:spLocks noChangeArrowheads="1"/>
        </xdr:cNvSpPr>
      </xdr:nvSpPr>
      <xdr:spPr bwMode="auto">
        <a:xfrm>
          <a:off x="1061085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10</xdr:col>
      <xdr:colOff>0</xdr:colOff>
      <xdr:row>11</xdr:row>
      <xdr:rowOff>0</xdr:rowOff>
    </xdr:from>
    <xdr:to>
      <xdr:col>10</xdr:col>
      <xdr:colOff>0</xdr:colOff>
      <xdr:row>11</xdr:row>
      <xdr:rowOff>0</xdr:rowOff>
    </xdr:to>
    <xdr:sp macro="" textlink="">
      <xdr:nvSpPr>
        <xdr:cNvPr id="47109" name="Texto 13"/>
        <xdr:cNvSpPr txBox="1">
          <a:spLocks noChangeArrowheads="1"/>
        </xdr:cNvSpPr>
      </xdr:nvSpPr>
      <xdr:spPr bwMode="auto">
        <a:xfrm>
          <a:off x="1061085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10</xdr:col>
      <xdr:colOff>0</xdr:colOff>
      <xdr:row>11</xdr:row>
      <xdr:rowOff>0</xdr:rowOff>
    </xdr:from>
    <xdr:to>
      <xdr:col>10</xdr:col>
      <xdr:colOff>0</xdr:colOff>
      <xdr:row>11</xdr:row>
      <xdr:rowOff>0</xdr:rowOff>
    </xdr:to>
    <xdr:sp macro="" textlink="">
      <xdr:nvSpPr>
        <xdr:cNvPr id="47110" name="Texto 13"/>
        <xdr:cNvSpPr txBox="1">
          <a:spLocks noChangeArrowheads="1"/>
        </xdr:cNvSpPr>
      </xdr:nvSpPr>
      <xdr:spPr bwMode="auto">
        <a:xfrm>
          <a:off x="1061085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10</xdr:col>
      <xdr:colOff>0</xdr:colOff>
      <xdr:row>11</xdr:row>
      <xdr:rowOff>0</xdr:rowOff>
    </xdr:from>
    <xdr:to>
      <xdr:col>10</xdr:col>
      <xdr:colOff>0</xdr:colOff>
      <xdr:row>11</xdr:row>
      <xdr:rowOff>0</xdr:rowOff>
    </xdr:to>
    <xdr:sp macro="" textlink="">
      <xdr:nvSpPr>
        <xdr:cNvPr id="47111" name="Texto 13"/>
        <xdr:cNvSpPr txBox="1">
          <a:spLocks noChangeArrowheads="1"/>
        </xdr:cNvSpPr>
      </xdr:nvSpPr>
      <xdr:spPr bwMode="auto">
        <a:xfrm>
          <a:off x="1061085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10</xdr:col>
      <xdr:colOff>0</xdr:colOff>
      <xdr:row>11</xdr:row>
      <xdr:rowOff>0</xdr:rowOff>
    </xdr:from>
    <xdr:to>
      <xdr:col>10</xdr:col>
      <xdr:colOff>0</xdr:colOff>
      <xdr:row>11</xdr:row>
      <xdr:rowOff>0</xdr:rowOff>
    </xdr:to>
    <xdr:sp macro="" textlink="">
      <xdr:nvSpPr>
        <xdr:cNvPr id="47112" name="Texto 13"/>
        <xdr:cNvSpPr txBox="1">
          <a:spLocks noChangeArrowheads="1"/>
        </xdr:cNvSpPr>
      </xdr:nvSpPr>
      <xdr:spPr bwMode="auto">
        <a:xfrm>
          <a:off x="1061085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10</xdr:col>
      <xdr:colOff>0</xdr:colOff>
      <xdr:row>11</xdr:row>
      <xdr:rowOff>0</xdr:rowOff>
    </xdr:from>
    <xdr:to>
      <xdr:col>10</xdr:col>
      <xdr:colOff>0</xdr:colOff>
      <xdr:row>11</xdr:row>
      <xdr:rowOff>0</xdr:rowOff>
    </xdr:to>
    <xdr:sp macro="" textlink="">
      <xdr:nvSpPr>
        <xdr:cNvPr id="47113" name="Texto 13"/>
        <xdr:cNvSpPr txBox="1">
          <a:spLocks noChangeArrowheads="1"/>
        </xdr:cNvSpPr>
      </xdr:nvSpPr>
      <xdr:spPr bwMode="auto">
        <a:xfrm>
          <a:off x="1061085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10</xdr:col>
      <xdr:colOff>0</xdr:colOff>
      <xdr:row>11</xdr:row>
      <xdr:rowOff>0</xdr:rowOff>
    </xdr:from>
    <xdr:to>
      <xdr:col>10</xdr:col>
      <xdr:colOff>0</xdr:colOff>
      <xdr:row>11</xdr:row>
      <xdr:rowOff>0</xdr:rowOff>
    </xdr:to>
    <xdr:sp macro="" textlink="">
      <xdr:nvSpPr>
        <xdr:cNvPr id="47115" name="Texto 13"/>
        <xdr:cNvSpPr txBox="1">
          <a:spLocks noChangeArrowheads="1"/>
        </xdr:cNvSpPr>
      </xdr:nvSpPr>
      <xdr:spPr bwMode="auto">
        <a:xfrm>
          <a:off x="1061085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10</xdr:col>
      <xdr:colOff>0</xdr:colOff>
      <xdr:row>11</xdr:row>
      <xdr:rowOff>0</xdr:rowOff>
    </xdr:from>
    <xdr:to>
      <xdr:col>10</xdr:col>
      <xdr:colOff>0</xdr:colOff>
      <xdr:row>11</xdr:row>
      <xdr:rowOff>0</xdr:rowOff>
    </xdr:to>
    <xdr:sp macro="" textlink="">
      <xdr:nvSpPr>
        <xdr:cNvPr id="47116" name="Texto 13"/>
        <xdr:cNvSpPr txBox="1">
          <a:spLocks noChangeArrowheads="1"/>
        </xdr:cNvSpPr>
      </xdr:nvSpPr>
      <xdr:spPr bwMode="auto">
        <a:xfrm>
          <a:off x="1061085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10</xdr:col>
      <xdr:colOff>0</xdr:colOff>
      <xdr:row>11</xdr:row>
      <xdr:rowOff>0</xdr:rowOff>
    </xdr:from>
    <xdr:to>
      <xdr:col>10</xdr:col>
      <xdr:colOff>0</xdr:colOff>
      <xdr:row>11</xdr:row>
      <xdr:rowOff>0</xdr:rowOff>
    </xdr:to>
    <xdr:sp macro="" textlink="">
      <xdr:nvSpPr>
        <xdr:cNvPr id="47117" name="Texto 13"/>
        <xdr:cNvSpPr txBox="1">
          <a:spLocks noChangeArrowheads="1"/>
        </xdr:cNvSpPr>
      </xdr:nvSpPr>
      <xdr:spPr bwMode="auto">
        <a:xfrm>
          <a:off x="1061085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10</xdr:col>
      <xdr:colOff>0</xdr:colOff>
      <xdr:row>11</xdr:row>
      <xdr:rowOff>0</xdr:rowOff>
    </xdr:from>
    <xdr:to>
      <xdr:col>10</xdr:col>
      <xdr:colOff>0</xdr:colOff>
      <xdr:row>11</xdr:row>
      <xdr:rowOff>0</xdr:rowOff>
    </xdr:to>
    <xdr:sp macro="" textlink="">
      <xdr:nvSpPr>
        <xdr:cNvPr id="47118" name="Texto 13"/>
        <xdr:cNvSpPr txBox="1">
          <a:spLocks noChangeArrowheads="1"/>
        </xdr:cNvSpPr>
      </xdr:nvSpPr>
      <xdr:spPr bwMode="auto">
        <a:xfrm>
          <a:off x="1061085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10</xdr:col>
      <xdr:colOff>0</xdr:colOff>
      <xdr:row>11</xdr:row>
      <xdr:rowOff>0</xdr:rowOff>
    </xdr:from>
    <xdr:to>
      <xdr:col>10</xdr:col>
      <xdr:colOff>0</xdr:colOff>
      <xdr:row>11</xdr:row>
      <xdr:rowOff>0</xdr:rowOff>
    </xdr:to>
    <xdr:sp macro="" textlink="">
      <xdr:nvSpPr>
        <xdr:cNvPr id="47119" name="Texto 13"/>
        <xdr:cNvSpPr txBox="1">
          <a:spLocks noChangeArrowheads="1"/>
        </xdr:cNvSpPr>
      </xdr:nvSpPr>
      <xdr:spPr bwMode="auto">
        <a:xfrm>
          <a:off x="1061085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10</xdr:col>
      <xdr:colOff>0</xdr:colOff>
      <xdr:row>11</xdr:row>
      <xdr:rowOff>0</xdr:rowOff>
    </xdr:from>
    <xdr:to>
      <xdr:col>10</xdr:col>
      <xdr:colOff>0</xdr:colOff>
      <xdr:row>11</xdr:row>
      <xdr:rowOff>0</xdr:rowOff>
    </xdr:to>
    <xdr:sp macro="" textlink="">
      <xdr:nvSpPr>
        <xdr:cNvPr id="47120" name="Texto 13"/>
        <xdr:cNvSpPr txBox="1">
          <a:spLocks noChangeArrowheads="1"/>
        </xdr:cNvSpPr>
      </xdr:nvSpPr>
      <xdr:spPr bwMode="auto">
        <a:xfrm>
          <a:off x="1061085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 editAs="oneCell">
    <xdr:from>
      <xdr:col>0</xdr:col>
      <xdr:colOff>95250</xdr:colOff>
      <xdr:row>1</xdr:row>
      <xdr:rowOff>0</xdr:rowOff>
    </xdr:from>
    <xdr:to>
      <xdr:col>0</xdr:col>
      <xdr:colOff>1276350</xdr:colOff>
      <xdr:row>2</xdr:row>
      <xdr:rowOff>123825</xdr:rowOff>
    </xdr:to>
    <xdr:pic>
      <xdr:nvPicPr>
        <xdr:cNvPr id="628268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190500"/>
          <a:ext cx="11811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0</xdr:colOff>
      <xdr:row>27</xdr:row>
      <xdr:rowOff>0</xdr:rowOff>
    </xdr:from>
    <xdr:to>
      <xdr:col>37</xdr:col>
      <xdr:colOff>0</xdr:colOff>
      <xdr:row>27</xdr:row>
      <xdr:rowOff>0</xdr:rowOff>
    </xdr:to>
    <xdr:sp macro="" textlink="">
      <xdr:nvSpPr>
        <xdr:cNvPr id="2" name="Texto 13"/>
        <xdr:cNvSpPr txBox="1">
          <a:spLocks noChangeArrowheads="1"/>
        </xdr:cNvSpPr>
      </xdr:nvSpPr>
      <xdr:spPr bwMode="auto">
        <a:xfrm>
          <a:off x="28641675" y="4972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27</xdr:row>
      <xdr:rowOff>0</xdr:rowOff>
    </xdr:from>
    <xdr:to>
      <xdr:col>37</xdr:col>
      <xdr:colOff>0</xdr:colOff>
      <xdr:row>27</xdr:row>
      <xdr:rowOff>0</xdr:rowOff>
    </xdr:to>
    <xdr:sp macro="" textlink="">
      <xdr:nvSpPr>
        <xdr:cNvPr id="3" name="Texto 13"/>
        <xdr:cNvSpPr txBox="1">
          <a:spLocks noChangeArrowheads="1"/>
        </xdr:cNvSpPr>
      </xdr:nvSpPr>
      <xdr:spPr bwMode="auto">
        <a:xfrm>
          <a:off x="28641675" y="4972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27</xdr:row>
      <xdr:rowOff>0</xdr:rowOff>
    </xdr:from>
    <xdr:to>
      <xdr:col>37</xdr:col>
      <xdr:colOff>0</xdr:colOff>
      <xdr:row>27</xdr:row>
      <xdr:rowOff>0</xdr:rowOff>
    </xdr:to>
    <xdr:sp macro="" textlink="">
      <xdr:nvSpPr>
        <xdr:cNvPr id="4" name="Texto 13"/>
        <xdr:cNvSpPr txBox="1">
          <a:spLocks noChangeArrowheads="1"/>
        </xdr:cNvSpPr>
      </xdr:nvSpPr>
      <xdr:spPr bwMode="auto">
        <a:xfrm>
          <a:off x="28641675" y="4972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27</xdr:row>
      <xdr:rowOff>0</xdr:rowOff>
    </xdr:from>
    <xdr:to>
      <xdr:col>37</xdr:col>
      <xdr:colOff>0</xdr:colOff>
      <xdr:row>27</xdr:row>
      <xdr:rowOff>0</xdr:rowOff>
    </xdr:to>
    <xdr:sp macro="" textlink="">
      <xdr:nvSpPr>
        <xdr:cNvPr id="5" name="Texto 13"/>
        <xdr:cNvSpPr txBox="1">
          <a:spLocks noChangeArrowheads="1"/>
        </xdr:cNvSpPr>
      </xdr:nvSpPr>
      <xdr:spPr bwMode="auto">
        <a:xfrm>
          <a:off x="28641675" y="4972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27</xdr:row>
      <xdr:rowOff>0</xdr:rowOff>
    </xdr:from>
    <xdr:to>
      <xdr:col>37</xdr:col>
      <xdr:colOff>0</xdr:colOff>
      <xdr:row>27</xdr:row>
      <xdr:rowOff>0</xdr:rowOff>
    </xdr:to>
    <xdr:sp macro="" textlink="">
      <xdr:nvSpPr>
        <xdr:cNvPr id="6" name="Texto 13"/>
        <xdr:cNvSpPr txBox="1">
          <a:spLocks noChangeArrowheads="1"/>
        </xdr:cNvSpPr>
      </xdr:nvSpPr>
      <xdr:spPr bwMode="auto">
        <a:xfrm>
          <a:off x="28641675" y="4972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27</xdr:row>
      <xdr:rowOff>0</xdr:rowOff>
    </xdr:from>
    <xdr:to>
      <xdr:col>37</xdr:col>
      <xdr:colOff>0</xdr:colOff>
      <xdr:row>27</xdr:row>
      <xdr:rowOff>0</xdr:rowOff>
    </xdr:to>
    <xdr:sp macro="" textlink="">
      <xdr:nvSpPr>
        <xdr:cNvPr id="7" name="Texto 13"/>
        <xdr:cNvSpPr txBox="1">
          <a:spLocks noChangeArrowheads="1"/>
        </xdr:cNvSpPr>
      </xdr:nvSpPr>
      <xdr:spPr bwMode="auto">
        <a:xfrm>
          <a:off x="28641675" y="4972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27</xdr:row>
      <xdr:rowOff>0</xdr:rowOff>
    </xdr:from>
    <xdr:to>
      <xdr:col>37</xdr:col>
      <xdr:colOff>0</xdr:colOff>
      <xdr:row>27</xdr:row>
      <xdr:rowOff>0</xdr:rowOff>
    </xdr:to>
    <xdr:sp macro="" textlink="">
      <xdr:nvSpPr>
        <xdr:cNvPr id="8" name="Texto 13"/>
        <xdr:cNvSpPr txBox="1">
          <a:spLocks noChangeArrowheads="1"/>
        </xdr:cNvSpPr>
      </xdr:nvSpPr>
      <xdr:spPr bwMode="auto">
        <a:xfrm>
          <a:off x="28641675" y="4972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27</xdr:row>
      <xdr:rowOff>0</xdr:rowOff>
    </xdr:from>
    <xdr:to>
      <xdr:col>37</xdr:col>
      <xdr:colOff>0</xdr:colOff>
      <xdr:row>27</xdr:row>
      <xdr:rowOff>0</xdr:rowOff>
    </xdr:to>
    <xdr:sp macro="" textlink="">
      <xdr:nvSpPr>
        <xdr:cNvPr id="9" name="Texto 13"/>
        <xdr:cNvSpPr txBox="1">
          <a:spLocks noChangeArrowheads="1"/>
        </xdr:cNvSpPr>
      </xdr:nvSpPr>
      <xdr:spPr bwMode="auto">
        <a:xfrm>
          <a:off x="28641675" y="4972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27</xdr:row>
      <xdr:rowOff>0</xdr:rowOff>
    </xdr:from>
    <xdr:to>
      <xdr:col>37</xdr:col>
      <xdr:colOff>0</xdr:colOff>
      <xdr:row>27</xdr:row>
      <xdr:rowOff>0</xdr:rowOff>
    </xdr:to>
    <xdr:sp macro="" textlink="">
      <xdr:nvSpPr>
        <xdr:cNvPr id="10" name="Texto 13"/>
        <xdr:cNvSpPr txBox="1">
          <a:spLocks noChangeArrowheads="1"/>
        </xdr:cNvSpPr>
      </xdr:nvSpPr>
      <xdr:spPr bwMode="auto">
        <a:xfrm>
          <a:off x="28641675" y="4972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27</xdr:row>
      <xdr:rowOff>0</xdr:rowOff>
    </xdr:from>
    <xdr:to>
      <xdr:col>37</xdr:col>
      <xdr:colOff>0</xdr:colOff>
      <xdr:row>27</xdr:row>
      <xdr:rowOff>0</xdr:rowOff>
    </xdr:to>
    <xdr:sp macro="" textlink="">
      <xdr:nvSpPr>
        <xdr:cNvPr id="11" name="Texto 13"/>
        <xdr:cNvSpPr txBox="1">
          <a:spLocks noChangeArrowheads="1"/>
        </xdr:cNvSpPr>
      </xdr:nvSpPr>
      <xdr:spPr bwMode="auto">
        <a:xfrm>
          <a:off x="28641675" y="4972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27</xdr:row>
      <xdr:rowOff>0</xdr:rowOff>
    </xdr:from>
    <xdr:to>
      <xdr:col>37</xdr:col>
      <xdr:colOff>0</xdr:colOff>
      <xdr:row>27</xdr:row>
      <xdr:rowOff>0</xdr:rowOff>
    </xdr:to>
    <xdr:sp macro="" textlink="">
      <xdr:nvSpPr>
        <xdr:cNvPr id="12" name="Texto 13"/>
        <xdr:cNvSpPr txBox="1">
          <a:spLocks noChangeArrowheads="1"/>
        </xdr:cNvSpPr>
      </xdr:nvSpPr>
      <xdr:spPr bwMode="auto">
        <a:xfrm>
          <a:off x="28641675" y="4972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27</xdr:row>
      <xdr:rowOff>0</xdr:rowOff>
    </xdr:from>
    <xdr:to>
      <xdr:col>37</xdr:col>
      <xdr:colOff>0</xdr:colOff>
      <xdr:row>27</xdr:row>
      <xdr:rowOff>0</xdr:rowOff>
    </xdr:to>
    <xdr:sp macro="" textlink="">
      <xdr:nvSpPr>
        <xdr:cNvPr id="13" name="Texto 13"/>
        <xdr:cNvSpPr txBox="1">
          <a:spLocks noChangeArrowheads="1"/>
        </xdr:cNvSpPr>
      </xdr:nvSpPr>
      <xdr:spPr bwMode="auto">
        <a:xfrm>
          <a:off x="28641675" y="4972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27</xdr:row>
      <xdr:rowOff>0</xdr:rowOff>
    </xdr:from>
    <xdr:to>
      <xdr:col>37</xdr:col>
      <xdr:colOff>0</xdr:colOff>
      <xdr:row>27</xdr:row>
      <xdr:rowOff>0</xdr:rowOff>
    </xdr:to>
    <xdr:sp macro="" textlink="">
      <xdr:nvSpPr>
        <xdr:cNvPr id="14" name="Texto 13"/>
        <xdr:cNvSpPr txBox="1">
          <a:spLocks noChangeArrowheads="1"/>
        </xdr:cNvSpPr>
      </xdr:nvSpPr>
      <xdr:spPr bwMode="auto">
        <a:xfrm>
          <a:off x="28641675" y="4972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27</xdr:row>
      <xdr:rowOff>0</xdr:rowOff>
    </xdr:from>
    <xdr:to>
      <xdr:col>37</xdr:col>
      <xdr:colOff>0</xdr:colOff>
      <xdr:row>27</xdr:row>
      <xdr:rowOff>0</xdr:rowOff>
    </xdr:to>
    <xdr:sp macro="" textlink="">
      <xdr:nvSpPr>
        <xdr:cNvPr id="15" name="Texto 13"/>
        <xdr:cNvSpPr txBox="1">
          <a:spLocks noChangeArrowheads="1"/>
        </xdr:cNvSpPr>
      </xdr:nvSpPr>
      <xdr:spPr bwMode="auto">
        <a:xfrm>
          <a:off x="28641675" y="4972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 editAs="oneCell">
    <xdr:from>
      <xdr:col>0</xdr:col>
      <xdr:colOff>76200</xdr:colOff>
      <xdr:row>1</xdr:row>
      <xdr:rowOff>19050</xdr:rowOff>
    </xdr:from>
    <xdr:to>
      <xdr:col>0</xdr:col>
      <xdr:colOff>1257300</xdr:colOff>
      <xdr:row>2</xdr:row>
      <xdr:rowOff>142875</xdr:rowOff>
    </xdr:to>
    <xdr:pic>
      <xdr:nvPicPr>
        <xdr:cNvPr id="1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09550"/>
          <a:ext cx="11811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0</xdr:colOff>
      <xdr:row>31</xdr:row>
      <xdr:rowOff>0</xdr:rowOff>
    </xdr:from>
    <xdr:to>
      <xdr:col>37</xdr:col>
      <xdr:colOff>0</xdr:colOff>
      <xdr:row>31</xdr:row>
      <xdr:rowOff>0</xdr:rowOff>
    </xdr:to>
    <xdr:sp macro="" textlink="">
      <xdr:nvSpPr>
        <xdr:cNvPr id="2" name="Texto 13"/>
        <xdr:cNvSpPr txBox="1">
          <a:spLocks noChangeArrowheads="1"/>
        </xdr:cNvSpPr>
      </xdr:nvSpPr>
      <xdr:spPr bwMode="auto">
        <a:xfrm>
          <a:off x="28870275" y="60198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31</xdr:row>
      <xdr:rowOff>0</xdr:rowOff>
    </xdr:from>
    <xdr:to>
      <xdr:col>37</xdr:col>
      <xdr:colOff>0</xdr:colOff>
      <xdr:row>31</xdr:row>
      <xdr:rowOff>0</xdr:rowOff>
    </xdr:to>
    <xdr:sp macro="" textlink="">
      <xdr:nvSpPr>
        <xdr:cNvPr id="3" name="Texto 13"/>
        <xdr:cNvSpPr txBox="1">
          <a:spLocks noChangeArrowheads="1"/>
        </xdr:cNvSpPr>
      </xdr:nvSpPr>
      <xdr:spPr bwMode="auto">
        <a:xfrm>
          <a:off x="28870275" y="60198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31</xdr:row>
      <xdr:rowOff>0</xdr:rowOff>
    </xdr:from>
    <xdr:to>
      <xdr:col>37</xdr:col>
      <xdr:colOff>0</xdr:colOff>
      <xdr:row>31</xdr:row>
      <xdr:rowOff>0</xdr:rowOff>
    </xdr:to>
    <xdr:sp macro="" textlink="">
      <xdr:nvSpPr>
        <xdr:cNvPr id="4" name="Texto 13"/>
        <xdr:cNvSpPr txBox="1">
          <a:spLocks noChangeArrowheads="1"/>
        </xdr:cNvSpPr>
      </xdr:nvSpPr>
      <xdr:spPr bwMode="auto">
        <a:xfrm>
          <a:off x="28870275" y="60198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31</xdr:row>
      <xdr:rowOff>0</xdr:rowOff>
    </xdr:from>
    <xdr:to>
      <xdr:col>37</xdr:col>
      <xdr:colOff>0</xdr:colOff>
      <xdr:row>31</xdr:row>
      <xdr:rowOff>0</xdr:rowOff>
    </xdr:to>
    <xdr:sp macro="" textlink="">
      <xdr:nvSpPr>
        <xdr:cNvPr id="5" name="Texto 13"/>
        <xdr:cNvSpPr txBox="1">
          <a:spLocks noChangeArrowheads="1"/>
        </xdr:cNvSpPr>
      </xdr:nvSpPr>
      <xdr:spPr bwMode="auto">
        <a:xfrm>
          <a:off x="28870275" y="60198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31</xdr:row>
      <xdr:rowOff>0</xdr:rowOff>
    </xdr:from>
    <xdr:to>
      <xdr:col>37</xdr:col>
      <xdr:colOff>0</xdr:colOff>
      <xdr:row>31</xdr:row>
      <xdr:rowOff>0</xdr:rowOff>
    </xdr:to>
    <xdr:sp macro="" textlink="">
      <xdr:nvSpPr>
        <xdr:cNvPr id="6" name="Texto 13"/>
        <xdr:cNvSpPr txBox="1">
          <a:spLocks noChangeArrowheads="1"/>
        </xdr:cNvSpPr>
      </xdr:nvSpPr>
      <xdr:spPr bwMode="auto">
        <a:xfrm>
          <a:off x="28870275" y="60198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31</xdr:row>
      <xdr:rowOff>0</xdr:rowOff>
    </xdr:from>
    <xdr:to>
      <xdr:col>37</xdr:col>
      <xdr:colOff>0</xdr:colOff>
      <xdr:row>31</xdr:row>
      <xdr:rowOff>0</xdr:rowOff>
    </xdr:to>
    <xdr:sp macro="" textlink="">
      <xdr:nvSpPr>
        <xdr:cNvPr id="7" name="Texto 13"/>
        <xdr:cNvSpPr txBox="1">
          <a:spLocks noChangeArrowheads="1"/>
        </xdr:cNvSpPr>
      </xdr:nvSpPr>
      <xdr:spPr bwMode="auto">
        <a:xfrm>
          <a:off x="28870275" y="60198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31</xdr:row>
      <xdr:rowOff>0</xdr:rowOff>
    </xdr:from>
    <xdr:to>
      <xdr:col>37</xdr:col>
      <xdr:colOff>0</xdr:colOff>
      <xdr:row>31</xdr:row>
      <xdr:rowOff>0</xdr:rowOff>
    </xdr:to>
    <xdr:sp macro="" textlink="">
      <xdr:nvSpPr>
        <xdr:cNvPr id="8" name="Texto 13"/>
        <xdr:cNvSpPr txBox="1">
          <a:spLocks noChangeArrowheads="1"/>
        </xdr:cNvSpPr>
      </xdr:nvSpPr>
      <xdr:spPr bwMode="auto">
        <a:xfrm>
          <a:off x="28870275" y="60198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31</xdr:row>
      <xdr:rowOff>0</xdr:rowOff>
    </xdr:from>
    <xdr:to>
      <xdr:col>37</xdr:col>
      <xdr:colOff>0</xdr:colOff>
      <xdr:row>31</xdr:row>
      <xdr:rowOff>0</xdr:rowOff>
    </xdr:to>
    <xdr:sp macro="" textlink="">
      <xdr:nvSpPr>
        <xdr:cNvPr id="9" name="Texto 13"/>
        <xdr:cNvSpPr txBox="1">
          <a:spLocks noChangeArrowheads="1"/>
        </xdr:cNvSpPr>
      </xdr:nvSpPr>
      <xdr:spPr bwMode="auto">
        <a:xfrm>
          <a:off x="28870275" y="60198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31</xdr:row>
      <xdr:rowOff>0</xdr:rowOff>
    </xdr:from>
    <xdr:to>
      <xdr:col>37</xdr:col>
      <xdr:colOff>0</xdr:colOff>
      <xdr:row>31</xdr:row>
      <xdr:rowOff>0</xdr:rowOff>
    </xdr:to>
    <xdr:sp macro="" textlink="">
      <xdr:nvSpPr>
        <xdr:cNvPr id="10" name="Texto 13"/>
        <xdr:cNvSpPr txBox="1">
          <a:spLocks noChangeArrowheads="1"/>
        </xdr:cNvSpPr>
      </xdr:nvSpPr>
      <xdr:spPr bwMode="auto">
        <a:xfrm>
          <a:off x="28870275" y="60198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31</xdr:row>
      <xdr:rowOff>0</xdr:rowOff>
    </xdr:from>
    <xdr:to>
      <xdr:col>37</xdr:col>
      <xdr:colOff>0</xdr:colOff>
      <xdr:row>31</xdr:row>
      <xdr:rowOff>0</xdr:rowOff>
    </xdr:to>
    <xdr:sp macro="" textlink="">
      <xdr:nvSpPr>
        <xdr:cNvPr id="11" name="Texto 13"/>
        <xdr:cNvSpPr txBox="1">
          <a:spLocks noChangeArrowheads="1"/>
        </xdr:cNvSpPr>
      </xdr:nvSpPr>
      <xdr:spPr bwMode="auto">
        <a:xfrm>
          <a:off x="28870275" y="60198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31</xdr:row>
      <xdr:rowOff>0</xdr:rowOff>
    </xdr:from>
    <xdr:to>
      <xdr:col>37</xdr:col>
      <xdr:colOff>0</xdr:colOff>
      <xdr:row>31</xdr:row>
      <xdr:rowOff>0</xdr:rowOff>
    </xdr:to>
    <xdr:sp macro="" textlink="">
      <xdr:nvSpPr>
        <xdr:cNvPr id="12" name="Texto 13"/>
        <xdr:cNvSpPr txBox="1">
          <a:spLocks noChangeArrowheads="1"/>
        </xdr:cNvSpPr>
      </xdr:nvSpPr>
      <xdr:spPr bwMode="auto">
        <a:xfrm>
          <a:off x="28870275" y="60198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31</xdr:row>
      <xdr:rowOff>0</xdr:rowOff>
    </xdr:from>
    <xdr:to>
      <xdr:col>37</xdr:col>
      <xdr:colOff>0</xdr:colOff>
      <xdr:row>31</xdr:row>
      <xdr:rowOff>0</xdr:rowOff>
    </xdr:to>
    <xdr:sp macro="" textlink="">
      <xdr:nvSpPr>
        <xdr:cNvPr id="13" name="Texto 13"/>
        <xdr:cNvSpPr txBox="1">
          <a:spLocks noChangeArrowheads="1"/>
        </xdr:cNvSpPr>
      </xdr:nvSpPr>
      <xdr:spPr bwMode="auto">
        <a:xfrm>
          <a:off x="28870275" y="60198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31</xdr:row>
      <xdr:rowOff>0</xdr:rowOff>
    </xdr:from>
    <xdr:to>
      <xdr:col>37</xdr:col>
      <xdr:colOff>0</xdr:colOff>
      <xdr:row>31</xdr:row>
      <xdr:rowOff>0</xdr:rowOff>
    </xdr:to>
    <xdr:sp macro="" textlink="">
      <xdr:nvSpPr>
        <xdr:cNvPr id="14" name="Texto 13"/>
        <xdr:cNvSpPr txBox="1">
          <a:spLocks noChangeArrowheads="1"/>
        </xdr:cNvSpPr>
      </xdr:nvSpPr>
      <xdr:spPr bwMode="auto">
        <a:xfrm>
          <a:off x="28870275" y="60198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31</xdr:row>
      <xdr:rowOff>0</xdr:rowOff>
    </xdr:from>
    <xdr:to>
      <xdr:col>37</xdr:col>
      <xdr:colOff>0</xdr:colOff>
      <xdr:row>31</xdr:row>
      <xdr:rowOff>0</xdr:rowOff>
    </xdr:to>
    <xdr:sp macro="" textlink="">
      <xdr:nvSpPr>
        <xdr:cNvPr id="15" name="Texto 13"/>
        <xdr:cNvSpPr txBox="1">
          <a:spLocks noChangeArrowheads="1"/>
        </xdr:cNvSpPr>
      </xdr:nvSpPr>
      <xdr:spPr bwMode="auto">
        <a:xfrm>
          <a:off x="28870275" y="60198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 editAs="oneCell">
    <xdr:from>
      <xdr:col>0</xdr:col>
      <xdr:colOff>76200</xdr:colOff>
      <xdr:row>1</xdr:row>
      <xdr:rowOff>19050</xdr:rowOff>
    </xdr:from>
    <xdr:to>
      <xdr:col>0</xdr:col>
      <xdr:colOff>1257300</xdr:colOff>
      <xdr:row>2</xdr:row>
      <xdr:rowOff>142875</xdr:rowOff>
    </xdr:to>
    <xdr:pic>
      <xdr:nvPicPr>
        <xdr:cNvPr id="1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09550"/>
          <a:ext cx="11811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14</xdr:row>
      <xdr:rowOff>0</xdr:rowOff>
    </xdr:from>
    <xdr:to>
      <xdr:col>8</xdr:col>
      <xdr:colOff>0</xdr:colOff>
      <xdr:row>14</xdr:row>
      <xdr:rowOff>0</xdr:rowOff>
    </xdr:to>
    <xdr:sp macro="" textlink="">
      <xdr:nvSpPr>
        <xdr:cNvPr id="49153" name="Texto 13"/>
        <xdr:cNvSpPr txBox="1">
          <a:spLocks noChangeArrowheads="1"/>
        </xdr:cNvSpPr>
      </xdr:nvSpPr>
      <xdr:spPr bwMode="auto">
        <a:xfrm>
          <a:off x="12277725" y="9182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8</xdr:col>
      <xdr:colOff>0</xdr:colOff>
      <xdr:row>14</xdr:row>
      <xdr:rowOff>0</xdr:rowOff>
    </xdr:from>
    <xdr:to>
      <xdr:col>8</xdr:col>
      <xdr:colOff>0</xdr:colOff>
      <xdr:row>14</xdr:row>
      <xdr:rowOff>0</xdr:rowOff>
    </xdr:to>
    <xdr:sp macro="" textlink="">
      <xdr:nvSpPr>
        <xdr:cNvPr id="49155" name="Texto 13"/>
        <xdr:cNvSpPr txBox="1">
          <a:spLocks noChangeArrowheads="1"/>
        </xdr:cNvSpPr>
      </xdr:nvSpPr>
      <xdr:spPr bwMode="auto">
        <a:xfrm>
          <a:off x="12277725" y="9182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8</xdr:col>
      <xdr:colOff>0</xdr:colOff>
      <xdr:row>14</xdr:row>
      <xdr:rowOff>0</xdr:rowOff>
    </xdr:from>
    <xdr:to>
      <xdr:col>8</xdr:col>
      <xdr:colOff>0</xdr:colOff>
      <xdr:row>14</xdr:row>
      <xdr:rowOff>0</xdr:rowOff>
    </xdr:to>
    <xdr:sp macro="" textlink="">
      <xdr:nvSpPr>
        <xdr:cNvPr id="49156" name="Texto 13"/>
        <xdr:cNvSpPr txBox="1">
          <a:spLocks noChangeArrowheads="1"/>
        </xdr:cNvSpPr>
      </xdr:nvSpPr>
      <xdr:spPr bwMode="auto">
        <a:xfrm>
          <a:off x="12277725" y="9182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8</xdr:col>
      <xdr:colOff>0</xdr:colOff>
      <xdr:row>14</xdr:row>
      <xdr:rowOff>0</xdr:rowOff>
    </xdr:from>
    <xdr:to>
      <xdr:col>8</xdr:col>
      <xdr:colOff>0</xdr:colOff>
      <xdr:row>14</xdr:row>
      <xdr:rowOff>0</xdr:rowOff>
    </xdr:to>
    <xdr:sp macro="" textlink="">
      <xdr:nvSpPr>
        <xdr:cNvPr id="49157" name="Texto 13"/>
        <xdr:cNvSpPr txBox="1">
          <a:spLocks noChangeArrowheads="1"/>
        </xdr:cNvSpPr>
      </xdr:nvSpPr>
      <xdr:spPr bwMode="auto">
        <a:xfrm>
          <a:off x="12277725" y="9182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8</xdr:col>
      <xdr:colOff>0</xdr:colOff>
      <xdr:row>14</xdr:row>
      <xdr:rowOff>0</xdr:rowOff>
    </xdr:from>
    <xdr:to>
      <xdr:col>8</xdr:col>
      <xdr:colOff>0</xdr:colOff>
      <xdr:row>14</xdr:row>
      <xdr:rowOff>0</xdr:rowOff>
    </xdr:to>
    <xdr:sp macro="" textlink="">
      <xdr:nvSpPr>
        <xdr:cNvPr id="49158" name="Texto 13"/>
        <xdr:cNvSpPr txBox="1">
          <a:spLocks noChangeArrowheads="1"/>
        </xdr:cNvSpPr>
      </xdr:nvSpPr>
      <xdr:spPr bwMode="auto">
        <a:xfrm>
          <a:off x="12277725" y="9182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8</xdr:col>
      <xdr:colOff>0</xdr:colOff>
      <xdr:row>14</xdr:row>
      <xdr:rowOff>0</xdr:rowOff>
    </xdr:from>
    <xdr:to>
      <xdr:col>8</xdr:col>
      <xdr:colOff>0</xdr:colOff>
      <xdr:row>14</xdr:row>
      <xdr:rowOff>0</xdr:rowOff>
    </xdr:to>
    <xdr:sp macro="" textlink="">
      <xdr:nvSpPr>
        <xdr:cNvPr id="49159" name="Texto 13"/>
        <xdr:cNvSpPr txBox="1">
          <a:spLocks noChangeArrowheads="1"/>
        </xdr:cNvSpPr>
      </xdr:nvSpPr>
      <xdr:spPr bwMode="auto">
        <a:xfrm>
          <a:off x="12277725" y="9182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8</xdr:col>
      <xdr:colOff>0</xdr:colOff>
      <xdr:row>14</xdr:row>
      <xdr:rowOff>0</xdr:rowOff>
    </xdr:from>
    <xdr:to>
      <xdr:col>8</xdr:col>
      <xdr:colOff>0</xdr:colOff>
      <xdr:row>14</xdr:row>
      <xdr:rowOff>0</xdr:rowOff>
    </xdr:to>
    <xdr:sp macro="" textlink="">
      <xdr:nvSpPr>
        <xdr:cNvPr id="49160" name="Texto 13"/>
        <xdr:cNvSpPr txBox="1">
          <a:spLocks noChangeArrowheads="1"/>
        </xdr:cNvSpPr>
      </xdr:nvSpPr>
      <xdr:spPr bwMode="auto">
        <a:xfrm>
          <a:off x="12277725" y="9182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8</xdr:col>
      <xdr:colOff>0</xdr:colOff>
      <xdr:row>14</xdr:row>
      <xdr:rowOff>0</xdr:rowOff>
    </xdr:from>
    <xdr:to>
      <xdr:col>8</xdr:col>
      <xdr:colOff>0</xdr:colOff>
      <xdr:row>14</xdr:row>
      <xdr:rowOff>0</xdr:rowOff>
    </xdr:to>
    <xdr:sp macro="" textlink="">
      <xdr:nvSpPr>
        <xdr:cNvPr id="49161" name="Texto 13"/>
        <xdr:cNvSpPr txBox="1">
          <a:spLocks noChangeArrowheads="1"/>
        </xdr:cNvSpPr>
      </xdr:nvSpPr>
      <xdr:spPr bwMode="auto">
        <a:xfrm>
          <a:off x="12277725" y="9182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8</xdr:col>
      <xdr:colOff>0</xdr:colOff>
      <xdr:row>14</xdr:row>
      <xdr:rowOff>0</xdr:rowOff>
    </xdr:from>
    <xdr:to>
      <xdr:col>8</xdr:col>
      <xdr:colOff>0</xdr:colOff>
      <xdr:row>14</xdr:row>
      <xdr:rowOff>0</xdr:rowOff>
    </xdr:to>
    <xdr:sp macro="" textlink="">
      <xdr:nvSpPr>
        <xdr:cNvPr id="49163" name="Texto 13"/>
        <xdr:cNvSpPr txBox="1">
          <a:spLocks noChangeArrowheads="1"/>
        </xdr:cNvSpPr>
      </xdr:nvSpPr>
      <xdr:spPr bwMode="auto">
        <a:xfrm>
          <a:off x="12277725" y="9182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8</xdr:col>
      <xdr:colOff>0</xdr:colOff>
      <xdr:row>14</xdr:row>
      <xdr:rowOff>0</xdr:rowOff>
    </xdr:from>
    <xdr:to>
      <xdr:col>8</xdr:col>
      <xdr:colOff>0</xdr:colOff>
      <xdr:row>14</xdr:row>
      <xdr:rowOff>0</xdr:rowOff>
    </xdr:to>
    <xdr:sp macro="" textlink="">
      <xdr:nvSpPr>
        <xdr:cNvPr id="49164" name="Texto 13"/>
        <xdr:cNvSpPr txBox="1">
          <a:spLocks noChangeArrowheads="1"/>
        </xdr:cNvSpPr>
      </xdr:nvSpPr>
      <xdr:spPr bwMode="auto">
        <a:xfrm>
          <a:off x="12277725" y="9182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8</xdr:col>
      <xdr:colOff>0</xdr:colOff>
      <xdr:row>14</xdr:row>
      <xdr:rowOff>0</xdr:rowOff>
    </xdr:from>
    <xdr:to>
      <xdr:col>8</xdr:col>
      <xdr:colOff>0</xdr:colOff>
      <xdr:row>14</xdr:row>
      <xdr:rowOff>0</xdr:rowOff>
    </xdr:to>
    <xdr:sp macro="" textlink="">
      <xdr:nvSpPr>
        <xdr:cNvPr id="49165" name="Texto 13"/>
        <xdr:cNvSpPr txBox="1">
          <a:spLocks noChangeArrowheads="1"/>
        </xdr:cNvSpPr>
      </xdr:nvSpPr>
      <xdr:spPr bwMode="auto">
        <a:xfrm>
          <a:off x="12277725" y="9182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8</xdr:col>
      <xdr:colOff>0</xdr:colOff>
      <xdr:row>14</xdr:row>
      <xdr:rowOff>0</xdr:rowOff>
    </xdr:from>
    <xdr:to>
      <xdr:col>8</xdr:col>
      <xdr:colOff>0</xdr:colOff>
      <xdr:row>14</xdr:row>
      <xdr:rowOff>0</xdr:rowOff>
    </xdr:to>
    <xdr:sp macro="" textlink="">
      <xdr:nvSpPr>
        <xdr:cNvPr id="49166" name="Texto 13"/>
        <xdr:cNvSpPr txBox="1">
          <a:spLocks noChangeArrowheads="1"/>
        </xdr:cNvSpPr>
      </xdr:nvSpPr>
      <xdr:spPr bwMode="auto">
        <a:xfrm>
          <a:off x="12277725" y="9182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8</xdr:col>
      <xdr:colOff>0</xdr:colOff>
      <xdr:row>14</xdr:row>
      <xdr:rowOff>0</xdr:rowOff>
    </xdr:from>
    <xdr:to>
      <xdr:col>8</xdr:col>
      <xdr:colOff>0</xdr:colOff>
      <xdr:row>14</xdr:row>
      <xdr:rowOff>0</xdr:rowOff>
    </xdr:to>
    <xdr:sp macro="" textlink="">
      <xdr:nvSpPr>
        <xdr:cNvPr id="49167" name="Texto 13"/>
        <xdr:cNvSpPr txBox="1">
          <a:spLocks noChangeArrowheads="1"/>
        </xdr:cNvSpPr>
      </xdr:nvSpPr>
      <xdr:spPr bwMode="auto">
        <a:xfrm>
          <a:off x="12277725" y="9182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8</xdr:col>
      <xdr:colOff>0</xdr:colOff>
      <xdr:row>14</xdr:row>
      <xdr:rowOff>0</xdr:rowOff>
    </xdr:from>
    <xdr:to>
      <xdr:col>8</xdr:col>
      <xdr:colOff>0</xdr:colOff>
      <xdr:row>14</xdr:row>
      <xdr:rowOff>0</xdr:rowOff>
    </xdr:to>
    <xdr:sp macro="" textlink="">
      <xdr:nvSpPr>
        <xdr:cNvPr id="49168" name="Texto 13"/>
        <xdr:cNvSpPr txBox="1">
          <a:spLocks noChangeArrowheads="1"/>
        </xdr:cNvSpPr>
      </xdr:nvSpPr>
      <xdr:spPr bwMode="auto">
        <a:xfrm>
          <a:off x="12277725" y="9182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 editAs="oneCell">
    <xdr:from>
      <xdr:col>0</xdr:col>
      <xdr:colOff>85725</xdr:colOff>
      <xdr:row>1</xdr:row>
      <xdr:rowOff>9525</xdr:rowOff>
    </xdr:from>
    <xdr:to>
      <xdr:col>0</xdr:col>
      <xdr:colOff>1266825</xdr:colOff>
      <xdr:row>2</xdr:row>
      <xdr:rowOff>133350</xdr:rowOff>
    </xdr:to>
    <xdr:pic>
      <xdr:nvPicPr>
        <xdr:cNvPr id="628473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200025"/>
          <a:ext cx="11811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11</xdr:row>
      <xdr:rowOff>0</xdr:rowOff>
    </xdr:from>
    <xdr:to>
      <xdr:col>2</xdr:col>
      <xdr:colOff>0</xdr:colOff>
      <xdr:row>11</xdr:row>
      <xdr:rowOff>0</xdr:rowOff>
    </xdr:to>
    <xdr:sp macro="" textlink="">
      <xdr:nvSpPr>
        <xdr:cNvPr id="41075" name="Texto 13"/>
        <xdr:cNvSpPr txBox="1">
          <a:spLocks noChangeArrowheads="1"/>
        </xdr:cNvSpPr>
      </xdr:nvSpPr>
      <xdr:spPr bwMode="auto">
        <a:xfrm>
          <a:off x="1104900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2</xdr:col>
      <xdr:colOff>0</xdr:colOff>
      <xdr:row>11</xdr:row>
      <xdr:rowOff>0</xdr:rowOff>
    </xdr:from>
    <xdr:to>
      <xdr:col>2</xdr:col>
      <xdr:colOff>0</xdr:colOff>
      <xdr:row>11</xdr:row>
      <xdr:rowOff>0</xdr:rowOff>
    </xdr:to>
    <xdr:sp macro="" textlink="">
      <xdr:nvSpPr>
        <xdr:cNvPr id="41076" name="Texto 13"/>
        <xdr:cNvSpPr txBox="1">
          <a:spLocks noChangeArrowheads="1"/>
        </xdr:cNvSpPr>
      </xdr:nvSpPr>
      <xdr:spPr bwMode="auto">
        <a:xfrm>
          <a:off x="1104900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2</xdr:col>
      <xdr:colOff>0</xdr:colOff>
      <xdr:row>11</xdr:row>
      <xdr:rowOff>0</xdr:rowOff>
    </xdr:from>
    <xdr:to>
      <xdr:col>2</xdr:col>
      <xdr:colOff>0</xdr:colOff>
      <xdr:row>11</xdr:row>
      <xdr:rowOff>0</xdr:rowOff>
    </xdr:to>
    <xdr:sp macro="" textlink="">
      <xdr:nvSpPr>
        <xdr:cNvPr id="41077" name="Texto 13"/>
        <xdr:cNvSpPr txBox="1">
          <a:spLocks noChangeArrowheads="1"/>
        </xdr:cNvSpPr>
      </xdr:nvSpPr>
      <xdr:spPr bwMode="auto">
        <a:xfrm>
          <a:off x="1104900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2</xdr:col>
      <xdr:colOff>0</xdr:colOff>
      <xdr:row>11</xdr:row>
      <xdr:rowOff>0</xdr:rowOff>
    </xdr:from>
    <xdr:to>
      <xdr:col>2</xdr:col>
      <xdr:colOff>0</xdr:colOff>
      <xdr:row>11</xdr:row>
      <xdr:rowOff>0</xdr:rowOff>
    </xdr:to>
    <xdr:sp macro="" textlink="">
      <xdr:nvSpPr>
        <xdr:cNvPr id="41078" name="Texto 13"/>
        <xdr:cNvSpPr txBox="1">
          <a:spLocks noChangeArrowheads="1"/>
        </xdr:cNvSpPr>
      </xdr:nvSpPr>
      <xdr:spPr bwMode="auto">
        <a:xfrm>
          <a:off x="1104900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2</xdr:col>
      <xdr:colOff>0</xdr:colOff>
      <xdr:row>11</xdr:row>
      <xdr:rowOff>0</xdr:rowOff>
    </xdr:from>
    <xdr:to>
      <xdr:col>2</xdr:col>
      <xdr:colOff>0</xdr:colOff>
      <xdr:row>11</xdr:row>
      <xdr:rowOff>0</xdr:rowOff>
    </xdr:to>
    <xdr:sp macro="" textlink="">
      <xdr:nvSpPr>
        <xdr:cNvPr id="41079" name="Texto 13"/>
        <xdr:cNvSpPr txBox="1">
          <a:spLocks noChangeArrowheads="1"/>
        </xdr:cNvSpPr>
      </xdr:nvSpPr>
      <xdr:spPr bwMode="auto">
        <a:xfrm>
          <a:off x="1104900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2</xdr:col>
      <xdr:colOff>0</xdr:colOff>
      <xdr:row>11</xdr:row>
      <xdr:rowOff>0</xdr:rowOff>
    </xdr:from>
    <xdr:to>
      <xdr:col>2</xdr:col>
      <xdr:colOff>0</xdr:colOff>
      <xdr:row>11</xdr:row>
      <xdr:rowOff>0</xdr:rowOff>
    </xdr:to>
    <xdr:sp macro="" textlink="">
      <xdr:nvSpPr>
        <xdr:cNvPr id="41080" name="Texto 13"/>
        <xdr:cNvSpPr txBox="1">
          <a:spLocks noChangeArrowheads="1"/>
        </xdr:cNvSpPr>
      </xdr:nvSpPr>
      <xdr:spPr bwMode="auto">
        <a:xfrm>
          <a:off x="1104900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2</xdr:col>
      <xdr:colOff>0</xdr:colOff>
      <xdr:row>11</xdr:row>
      <xdr:rowOff>0</xdr:rowOff>
    </xdr:from>
    <xdr:to>
      <xdr:col>2</xdr:col>
      <xdr:colOff>0</xdr:colOff>
      <xdr:row>11</xdr:row>
      <xdr:rowOff>0</xdr:rowOff>
    </xdr:to>
    <xdr:sp macro="" textlink="">
      <xdr:nvSpPr>
        <xdr:cNvPr id="41081" name="Texto 13"/>
        <xdr:cNvSpPr txBox="1">
          <a:spLocks noChangeArrowheads="1"/>
        </xdr:cNvSpPr>
      </xdr:nvSpPr>
      <xdr:spPr bwMode="auto">
        <a:xfrm>
          <a:off x="1104900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2</xdr:col>
      <xdr:colOff>0</xdr:colOff>
      <xdr:row>11</xdr:row>
      <xdr:rowOff>0</xdr:rowOff>
    </xdr:from>
    <xdr:to>
      <xdr:col>2</xdr:col>
      <xdr:colOff>0</xdr:colOff>
      <xdr:row>11</xdr:row>
      <xdr:rowOff>0</xdr:rowOff>
    </xdr:to>
    <xdr:sp macro="" textlink="">
      <xdr:nvSpPr>
        <xdr:cNvPr id="41082" name="Texto 13"/>
        <xdr:cNvSpPr txBox="1">
          <a:spLocks noChangeArrowheads="1"/>
        </xdr:cNvSpPr>
      </xdr:nvSpPr>
      <xdr:spPr bwMode="auto">
        <a:xfrm>
          <a:off x="1104900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2</xdr:col>
      <xdr:colOff>0</xdr:colOff>
      <xdr:row>11</xdr:row>
      <xdr:rowOff>0</xdr:rowOff>
    </xdr:from>
    <xdr:to>
      <xdr:col>2</xdr:col>
      <xdr:colOff>0</xdr:colOff>
      <xdr:row>11</xdr:row>
      <xdr:rowOff>0</xdr:rowOff>
    </xdr:to>
    <xdr:sp macro="" textlink="">
      <xdr:nvSpPr>
        <xdr:cNvPr id="41083" name="Texto 13"/>
        <xdr:cNvSpPr txBox="1">
          <a:spLocks noChangeArrowheads="1"/>
        </xdr:cNvSpPr>
      </xdr:nvSpPr>
      <xdr:spPr bwMode="auto">
        <a:xfrm>
          <a:off x="1104900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2</xdr:col>
      <xdr:colOff>0</xdr:colOff>
      <xdr:row>11</xdr:row>
      <xdr:rowOff>0</xdr:rowOff>
    </xdr:from>
    <xdr:to>
      <xdr:col>2</xdr:col>
      <xdr:colOff>0</xdr:colOff>
      <xdr:row>11</xdr:row>
      <xdr:rowOff>0</xdr:rowOff>
    </xdr:to>
    <xdr:sp macro="" textlink="">
      <xdr:nvSpPr>
        <xdr:cNvPr id="41084" name="Texto 13"/>
        <xdr:cNvSpPr txBox="1">
          <a:spLocks noChangeArrowheads="1"/>
        </xdr:cNvSpPr>
      </xdr:nvSpPr>
      <xdr:spPr bwMode="auto">
        <a:xfrm>
          <a:off x="1104900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2</xdr:col>
      <xdr:colOff>0</xdr:colOff>
      <xdr:row>11</xdr:row>
      <xdr:rowOff>0</xdr:rowOff>
    </xdr:from>
    <xdr:to>
      <xdr:col>2</xdr:col>
      <xdr:colOff>0</xdr:colOff>
      <xdr:row>11</xdr:row>
      <xdr:rowOff>0</xdr:rowOff>
    </xdr:to>
    <xdr:sp macro="" textlink="">
      <xdr:nvSpPr>
        <xdr:cNvPr id="41085" name="Texto 13"/>
        <xdr:cNvSpPr txBox="1">
          <a:spLocks noChangeArrowheads="1"/>
        </xdr:cNvSpPr>
      </xdr:nvSpPr>
      <xdr:spPr bwMode="auto">
        <a:xfrm>
          <a:off x="1104900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2</xdr:col>
      <xdr:colOff>0</xdr:colOff>
      <xdr:row>11</xdr:row>
      <xdr:rowOff>0</xdr:rowOff>
    </xdr:from>
    <xdr:to>
      <xdr:col>2</xdr:col>
      <xdr:colOff>0</xdr:colOff>
      <xdr:row>11</xdr:row>
      <xdr:rowOff>0</xdr:rowOff>
    </xdr:to>
    <xdr:sp macro="" textlink="">
      <xdr:nvSpPr>
        <xdr:cNvPr id="41086" name="Texto 13"/>
        <xdr:cNvSpPr txBox="1">
          <a:spLocks noChangeArrowheads="1"/>
        </xdr:cNvSpPr>
      </xdr:nvSpPr>
      <xdr:spPr bwMode="auto">
        <a:xfrm>
          <a:off x="1104900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2</xdr:col>
      <xdr:colOff>0</xdr:colOff>
      <xdr:row>11</xdr:row>
      <xdr:rowOff>0</xdr:rowOff>
    </xdr:from>
    <xdr:to>
      <xdr:col>2</xdr:col>
      <xdr:colOff>0</xdr:colOff>
      <xdr:row>11</xdr:row>
      <xdr:rowOff>0</xdr:rowOff>
    </xdr:to>
    <xdr:sp macro="" textlink="">
      <xdr:nvSpPr>
        <xdr:cNvPr id="41087" name="Texto 13"/>
        <xdr:cNvSpPr txBox="1">
          <a:spLocks noChangeArrowheads="1"/>
        </xdr:cNvSpPr>
      </xdr:nvSpPr>
      <xdr:spPr bwMode="auto">
        <a:xfrm>
          <a:off x="1104900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2</xdr:col>
      <xdr:colOff>0</xdr:colOff>
      <xdr:row>11</xdr:row>
      <xdr:rowOff>0</xdr:rowOff>
    </xdr:from>
    <xdr:to>
      <xdr:col>2</xdr:col>
      <xdr:colOff>0</xdr:colOff>
      <xdr:row>11</xdr:row>
      <xdr:rowOff>0</xdr:rowOff>
    </xdr:to>
    <xdr:sp macro="" textlink="">
      <xdr:nvSpPr>
        <xdr:cNvPr id="41088" name="Texto 13"/>
        <xdr:cNvSpPr txBox="1">
          <a:spLocks noChangeArrowheads="1"/>
        </xdr:cNvSpPr>
      </xdr:nvSpPr>
      <xdr:spPr bwMode="auto">
        <a:xfrm>
          <a:off x="1104900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 editAs="oneCell">
    <xdr:from>
      <xdr:col>0</xdr:col>
      <xdr:colOff>123825</xdr:colOff>
      <xdr:row>0</xdr:row>
      <xdr:rowOff>171450</xdr:rowOff>
    </xdr:from>
    <xdr:to>
      <xdr:col>0</xdr:col>
      <xdr:colOff>1304925</xdr:colOff>
      <xdr:row>2</xdr:row>
      <xdr:rowOff>104775</xdr:rowOff>
    </xdr:to>
    <xdr:pic>
      <xdr:nvPicPr>
        <xdr:cNvPr id="628576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71450"/>
          <a:ext cx="11811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7" name="Texto 13"/>
        <xdr:cNvSpPr txBox="1">
          <a:spLocks noChangeArrowheads="1"/>
        </xdr:cNvSpPr>
      </xdr:nvSpPr>
      <xdr:spPr bwMode="auto">
        <a:xfrm>
          <a:off x="2809875" y="20764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2</xdr:col>
      <xdr:colOff>0</xdr:colOff>
      <xdr:row>24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8" name="Texto 13"/>
        <xdr:cNvSpPr txBox="1">
          <a:spLocks noChangeArrowheads="1"/>
        </xdr:cNvSpPr>
      </xdr:nvSpPr>
      <xdr:spPr bwMode="auto">
        <a:xfrm>
          <a:off x="2809875" y="20764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2</xdr:col>
      <xdr:colOff>0</xdr:colOff>
      <xdr:row>24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9" name="Texto 13"/>
        <xdr:cNvSpPr txBox="1">
          <a:spLocks noChangeArrowheads="1"/>
        </xdr:cNvSpPr>
      </xdr:nvSpPr>
      <xdr:spPr bwMode="auto">
        <a:xfrm>
          <a:off x="2809875" y="20764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2</xdr:col>
      <xdr:colOff>0</xdr:colOff>
      <xdr:row>24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0" name="Texto 13"/>
        <xdr:cNvSpPr txBox="1">
          <a:spLocks noChangeArrowheads="1"/>
        </xdr:cNvSpPr>
      </xdr:nvSpPr>
      <xdr:spPr bwMode="auto">
        <a:xfrm>
          <a:off x="2809875" y="20764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2</xdr:col>
      <xdr:colOff>0</xdr:colOff>
      <xdr:row>24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1" name="Texto 13"/>
        <xdr:cNvSpPr txBox="1">
          <a:spLocks noChangeArrowheads="1"/>
        </xdr:cNvSpPr>
      </xdr:nvSpPr>
      <xdr:spPr bwMode="auto">
        <a:xfrm>
          <a:off x="2809875" y="20764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2</xdr:col>
      <xdr:colOff>0</xdr:colOff>
      <xdr:row>24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2" name="Texto 13"/>
        <xdr:cNvSpPr txBox="1">
          <a:spLocks noChangeArrowheads="1"/>
        </xdr:cNvSpPr>
      </xdr:nvSpPr>
      <xdr:spPr bwMode="auto">
        <a:xfrm>
          <a:off x="2809875" y="20764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2</xdr:col>
      <xdr:colOff>0</xdr:colOff>
      <xdr:row>24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3" name="Texto 13"/>
        <xdr:cNvSpPr txBox="1">
          <a:spLocks noChangeArrowheads="1"/>
        </xdr:cNvSpPr>
      </xdr:nvSpPr>
      <xdr:spPr bwMode="auto">
        <a:xfrm>
          <a:off x="2809875" y="20764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2</xdr:col>
      <xdr:colOff>0</xdr:colOff>
      <xdr:row>24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4" name="Texto 13"/>
        <xdr:cNvSpPr txBox="1">
          <a:spLocks noChangeArrowheads="1"/>
        </xdr:cNvSpPr>
      </xdr:nvSpPr>
      <xdr:spPr bwMode="auto">
        <a:xfrm>
          <a:off x="2809875" y="20764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2</xdr:col>
      <xdr:colOff>0</xdr:colOff>
      <xdr:row>24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5" name="Texto 13"/>
        <xdr:cNvSpPr txBox="1">
          <a:spLocks noChangeArrowheads="1"/>
        </xdr:cNvSpPr>
      </xdr:nvSpPr>
      <xdr:spPr bwMode="auto">
        <a:xfrm>
          <a:off x="2809875" y="20764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2</xdr:col>
      <xdr:colOff>0</xdr:colOff>
      <xdr:row>24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6" name="Texto 13"/>
        <xdr:cNvSpPr txBox="1">
          <a:spLocks noChangeArrowheads="1"/>
        </xdr:cNvSpPr>
      </xdr:nvSpPr>
      <xdr:spPr bwMode="auto">
        <a:xfrm>
          <a:off x="2809875" y="20764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2</xdr:col>
      <xdr:colOff>0</xdr:colOff>
      <xdr:row>24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7" name="Texto 13"/>
        <xdr:cNvSpPr txBox="1">
          <a:spLocks noChangeArrowheads="1"/>
        </xdr:cNvSpPr>
      </xdr:nvSpPr>
      <xdr:spPr bwMode="auto">
        <a:xfrm>
          <a:off x="2809875" y="20764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2</xdr:col>
      <xdr:colOff>0</xdr:colOff>
      <xdr:row>24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8" name="Texto 13"/>
        <xdr:cNvSpPr txBox="1">
          <a:spLocks noChangeArrowheads="1"/>
        </xdr:cNvSpPr>
      </xdr:nvSpPr>
      <xdr:spPr bwMode="auto">
        <a:xfrm>
          <a:off x="2809875" y="20764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2</xdr:col>
      <xdr:colOff>0</xdr:colOff>
      <xdr:row>24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9" name="Texto 13"/>
        <xdr:cNvSpPr txBox="1">
          <a:spLocks noChangeArrowheads="1"/>
        </xdr:cNvSpPr>
      </xdr:nvSpPr>
      <xdr:spPr bwMode="auto">
        <a:xfrm>
          <a:off x="2809875" y="20764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2</xdr:col>
      <xdr:colOff>0</xdr:colOff>
      <xdr:row>24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30" name="Texto 13"/>
        <xdr:cNvSpPr txBox="1">
          <a:spLocks noChangeArrowheads="1"/>
        </xdr:cNvSpPr>
      </xdr:nvSpPr>
      <xdr:spPr bwMode="auto">
        <a:xfrm>
          <a:off x="2809875" y="20764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74</xdr:col>
      <xdr:colOff>0</xdr:colOff>
      <xdr:row>19</xdr:row>
      <xdr:rowOff>0</xdr:rowOff>
    </xdr:from>
    <xdr:to>
      <xdr:col>74</xdr:col>
      <xdr:colOff>0</xdr:colOff>
      <xdr:row>19</xdr:row>
      <xdr:rowOff>0</xdr:rowOff>
    </xdr:to>
    <xdr:sp macro="" textlink="">
      <xdr:nvSpPr>
        <xdr:cNvPr id="1988800" name="Texto 13"/>
        <xdr:cNvSpPr txBox="1">
          <a:spLocks noChangeArrowheads="1"/>
        </xdr:cNvSpPr>
      </xdr:nvSpPr>
      <xdr:spPr bwMode="auto">
        <a:xfrm>
          <a:off x="32651700" y="4514850"/>
          <a:ext cx="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u="none" strike="noStrike" baseline="0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u="none" strike="noStrike" baseline="0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u="none" strike="noStrike" baseline="0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u="none" strike="noStrike" baseline="0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u="none" strike="noStrike" baseline="0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u="none" strike="noStrike" baseline="0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74</xdr:col>
      <xdr:colOff>0</xdr:colOff>
      <xdr:row>19</xdr:row>
      <xdr:rowOff>0</xdr:rowOff>
    </xdr:from>
    <xdr:to>
      <xdr:col>74</xdr:col>
      <xdr:colOff>0</xdr:colOff>
      <xdr:row>19</xdr:row>
      <xdr:rowOff>0</xdr:rowOff>
    </xdr:to>
    <xdr:sp macro="" textlink="">
      <xdr:nvSpPr>
        <xdr:cNvPr id="1988801" name="Texto 13"/>
        <xdr:cNvSpPr txBox="1">
          <a:spLocks noChangeArrowheads="1"/>
        </xdr:cNvSpPr>
      </xdr:nvSpPr>
      <xdr:spPr bwMode="auto">
        <a:xfrm>
          <a:off x="32651700" y="4514850"/>
          <a:ext cx="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u="none" strike="noStrike" baseline="0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u="none" strike="noStrike" baseline="0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u="none" strike="noStrike" baseline="0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u="none" strike="noStrike" baseline="0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u="none" strike="noStrike" baseline="0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u="none" strike="noStrike" baseline="0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74</xdr:col>
      <xdr:colOff>0</xdr:colOff>
      <xdr:row>19</xdr:row>
      <xdr:rowOff>0</xdr:rowOff>
    </xdr:from>
    <xdr:to>
      <xdr:col>74</xdr:col>
      <xdr:colOff>0</xdr:colOff>
      <xdr:row>19</xdr:row>
      <xdr:rowOff>0</xdr:rowOff>
    </xdr:to>
    <xdr:sp macro="" textlink="">
      <xdr:nvSpPr>
        <xdr:cNvPr id="1988802" name="Texto 13"/>
        <xdr:cNvSpPr txBox="1">
          <a:spLocks noChangeArrowheads="1"/>
        </xdr:cNvSpPr>
      </xdr:nvSpPr>
      <xdr:spPr bwMode="auto">
        <a:xfrm>
          <a:off x="32651700" y="4514850"/>
          <a:ext cx="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u="none" strike="noStrike" baseline="0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u="none" strike="noStrike" baseline="0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u="none" strike="noStrike" baseline="0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u="none" strike="noStrike" baseline="0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u="none" strike="noStrike" baseline="0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u="none" strike="noStrike" baseline="0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74</xdr:col>
      <xdr:colOff>0</xdr:colOff>
      <xdr:row>19</xdr:row>
      <xdr:rowOff>0</xdr:rowOff>
    </xdr:from>
    <xdr:to>
      <xdr:col>74</xdr:col>
      <xdr:colOff>0</xdr:colOff>
      <xdr:row>19</xdr:row>
      <xdr:rowOff>0</xdr:rowOff>
    </xdr:to>
    <xdr:sp macro="" textlink="">
      <xdr:nvSpPr>
        <xdr:cNvPr id="1988803" name="Texto 13"/>
        <xdr:cNvSpPr txBox="1">
          <a:spLocks noChangeArrowheads="1"/>
        </xdr:cNvSpPr>
      </xdr:nvSpPr>
      <xdr:spPr bwMode="auto">
        <a:xfrm>
          <a:off x="32651700" y="4514850"/>
          <a:ext cx="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u="none" strike="noStrike" baseline="0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u="none" strike="noStrike" baseline="0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u="none" strike="noStrike" baseline="0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u="none" strike="noStrike" baseline="0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u="none" strike="noStrike" baseline="0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u="none" strike="noStrike" baseline="0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74</xdr:col>
      <xdr:colOff>0</xdr:colOff>
      <xdr:row>19</xdr:row>
      <xdr:rowOff>0</xdr:rowOff>
    </xdr:from>
    <xdr:to>
      <xdr:col>74</xdr:col>
      <xdr:colOff>0</xdr:colOff>
      <xdr:row>19</xdr:row>
      <xdr:rowOff>0</xdr:rowOff>
    </xdr:to>
    <xdr:sp macro="" textlink="">
      <xdr:nvSpPr>
        <xdr:cNvPr id="1988804" name="Texto 13"/>
        <xdr:cNvSpPr txBox="1">
          <a:spLocks noChangeArrowheads="1"/>
        </xdr:cNvSpPr>
      </xdr:nvSpPr>
      <xdr:spPr bwMode="auto">
        <a:xfrm>
          <a:off x="32651700" y="4514850"/>
          <a:ext cx="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u="none" strike="noStrike" baseline="0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u="none" strike="noStrike" baseline="0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u="none" strike="noStrike" baseline="0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u="none" strike="noStrike" baseline="0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u="none" strike="noStrike" baseline="0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u="none" strike="noStrike" baseline="0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74</xdr:col>
      <xdr:colOff>0</xdr:colOff>
      <xdr:row>19</xdr:row>
      <xdr:rowOff>0</xdr:rowOff>
    </xdr:from>
    <xdr:to>
      <xdr:col>74</xdr:col>
      <xdr:colOff>0</xdr:colOff>
      <xdr:row>19</xdr:row>
      <xdr:rowOff>0</xdr:rowOff>
    </xdr:to>
    <xdr:sp macro="" textlink="">
      <xdr:nvSpPr>
        <xdr:cNvPr id="1988805" name="Texto 13"/>
        <xdr:cNvSpPr txBox="1">
          <a:spLocks noChangeArrowheads="1"/>
        </xdr:cNvSpPr>
      </xdr:nvSpPr>
      <xdr:spPr bwMode="auto">
        <a:xfrm>
          <a:off x="32651700" y="4514850"/>
          <a:ext cx="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u="none" strike="noStrike" baseline="0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u="none" strike="noStrike" baseline="0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u="none" strike="noStrike" baseline="0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u="none" strike="noStrike" baseline="0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u="none" strike="noStrike" baseline="0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u="none" strike="noStrike" baseline="0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74</xdr:col>
      <xdr:colOff>0</xdr:colOff>
      <xdr:row>19</xdr:row>
      <xdr:rowOff>0</xdr:rowOff>
    </xdr:from>
    <xdr:to>
      <xdr:col>74</xdr:col>
      <xdr:colOff>0</xdr:colOff>
      <xdr:row>19</xdr:row>
      <xdr:rowOff>0</xdr:rowOff>
    </xdr:to>
    <xdr:sp macro="" textlink="">
      <xdr:nvSpPr>
        <xdr:cNvPr id="1988806" name="Texto 13"/>
        <xdr:cNvSpPr txBox="1">
          <a:spLocks noChangeArrowheads="1"/>
        </xdr:cNvSpPr>
      </xdr:nvSpPr>
      <xdr:spPr bwMode="auto">
        <a:xfrm>
          <a:off x="32651700" y="4514850"/>
          <a:ext cx="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u="none" strike="noStrike" baseline="0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u="none" strike="noStrike" baseline="0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u="none" strike="noStrike" baseline="0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u="none" strike="noStrike" baseline="0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u="none" strike="noStrike" baseline="0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u="none" strike="noStrike" baseline="0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74</xdr:col>
      <xdr:colOff>0</xdr:colOff>
      <xdr:row>19</xdr:row>
      <xdr:rowOff>0</xdr:rowOff>
    </xdr:from>
    <xdr:to>
      <xdr:col>74</xdr:col>
      <xdr:colOff>0</xdr:colOff>
      <xdr:row>19</xdr:row>
      <xdr:rowOff>0</xdr:rowOff>
    </xdr:to>
    <xdr:sp macro="" textlink="">
      <xdr:nvSpPr>
        <xdr:cNvPr id="1988807" name="Texto 13"/>
        <xdr:cNvSpPr txBox="1">
          <a:spLocks noChangeArrowheads="1"/>
        </xdr:cNvSpPr>
      </xdr:nvSpPr>
      <xdr:spPr bwMode="auto">
        <a:xfrm>
          <a:off x="32651700" y="4514850"/>
          <a:ext cx="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u="none" strike="noStrike" baseline="0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u="none" strike="noStrike" baseline="0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u="none" strike="noStrike" baseline="0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u="none" strike="noStrike" baseline="0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u="none" strike="noStrike" baseline="0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u="none" strike="noStrike" baseline="0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74</xdr:col>
      <xdr:colOff>0</xdr:colOff>
      <xdr:row>19</xdr:row>
      <xdr:rowOff>0</xdr:rowOff>
    </xdr:from>
    <xdr:to>
      <xdr:col>74</xdr:col>
      <xdr:colOff>0</xdr:colOff>
      <xdr:row>19</xdr:row>
      <xdr:rowOff>0</xdr:rowOff>
    </xdr:to>
    <xdr:sp macro="" textlink="">
      <xdr:nvSpPr>
        <xdr:cNvPr id="1988808" name="Texto 13"/>
        <xdr:cNvSpPr txBox="1">
          <a:spLocks noChangeArrowheads="1"/>
        </xdr:cNvSpPr>
      </xdr:nvSpPr>
      <xdr:spPr bwMode="auto">
        <a:xfrm>
          <a:off x="32651700" y="4514850"/>
          <a:ext cx="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u="none" strike="noStrike" baseline="0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u="none" strike="noStrike" baseline="0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u="none" strike="noStrike" baseline="0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u="none" strike="noStrike" baseline="0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u="none" strike="noStrike" baseline="0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u="none" strike="noStrike" baseline="0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74</xdr:col>
      <xdr:colOff>0</xdr:colOff>
      <xdr:row>19</xdr:row>
      <xdr:rowOff>0</xdr:rowOff>
    </xdr:from>
    <xdr:to>
      <xdr:col>74</xdr:col>
      <xdr:colOff>0</xdr:colOff>
      <xdr:row>19</xdr:row>
      <xdr:rowOff>0</xdr:rowOff>
    </xdr:to>
    <xdr:sp macro="" textlink="">
      <xdr:nvSpPr>
        <xdr:cNvPr id="1988809" name="Texto 13"/>
        <xdr:cNvSpPr txBox="1">
          <a:spLocks noChangeArrowheads="1"/>
        </xdr:cNvSpPr>
      </xdr:nvSpPr>
      <xdr:spPr bwMode="auto">
        <a:xfrm>
          <a:off x="32651700" y="4514850"/>
          <a:ext cx="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u="none" strike="noStrike" baseline="0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u="none" strike="noStrike" baseline="0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u="none" strike="noStrike" baseline="0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u="none" strike="noStrike" baseline="0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u="none" strike="noStrike" baseline="0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u="none" strike="noStrike" baseline="0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74</xdr:col>
      <xdr:colOff>0</xdr:colOff>
      <xdr:row>19</xdr:row>
      <xdr:rowOff>0</xdr:rowOff>
    </xdr:from>
    <xdr:to>
      <xdr:col>74</xdr:col>
      <xdr:colOff>0</xdr:colOff>
      <xdr:row>19</xdr:row>
      <xdr:rowOff>0</xdr:rowOff>
    </xdr:to>
    <xdr:sp macro="" textlink="">
      <xdr:nvSpPr>
        <xdr:cNvPr id="1988810" name="Texto 13"/>
        <xdr:cNvSpPr txBox="1">
          <a:spLocks noChangeArrowheads="1"/>
        </xdr:cNvSpPr>
      </xdr:nvSpPr>
      <xdr:spPr bwMode="auto">
        <a:xfrm>
          <a:off x="32651700" y="4514850"/>
          <a:ext cx="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u="none" strike="noStrike" baseline="0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u="none" strike="noStrike" baseline="0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u="none" strike="noStrike" baseline="0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u="none" strike="noStrike" baseline="0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u="none" strike="noStrike" baseline="0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u="none" strike="noStrike" baseline="0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74</xdr:col>
      <xdr:colOff>0</xdr:colOff>
      <xdr:row>19</xdr:row>
      <xdr:rowOff>0</xdr:rowOff>
    </xdr:from>
    <xdr:to>
      <xdr:col>74</xdr:col>
      <xdr:colOff>0</xdr:colOff>
      <xdr:row>19</xdr:row>
      <xdr:rowOff>0</xdr:rowOff>
    </xdr:to>
    <xdr:sp macro="" textlink="">
      <xdr:nvSpPr>
        <xdr:cNvPr id="1988811" name="Texto 13"/>
        <xdr:cNvSpPr txBox="1">
          <a:spLocks noChangeArrowheads="1"/>
        </xdr:cNvSpPr>
      </xdr:nvSpPr>
      <xdr:spPr bwMode="auto">
        <a:xfrm>
          <a:off x="32651700" y="4514850"/>
          <a:ext cx="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u="none" strike="noStrike" baseline="0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u="none" strike="noStrike" baseline="0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u="none" strike="noStrike" baseline="0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u="none" strike="noStrike" baseline="0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u="none" strike="noStrike" baseline="0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u="none" strike="noStrike" baseline="0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74</xdr:col>
      <xdr:colOff>0</xdr:colOff>
      <xdr:row>19</xdr:row>
      <xdr:rowOff>0</xdr:rowOff>
    </xdr:from>
    <xdr:to>
      <xdr:col>74</xdr:col>
      <xdr:colOff>0</xdr:colOff>
      <xdr:row>19</xdr:row>
      <xdr:rowOff>0</xdr:rowOff>
    </xdr:to>
    <xdr:sp macro="" textlink="">
      <xdr:nvSpPr>
        <xdr:cNvPr id="1988812" name="Texto 13"/>
        <xdr:cNvSpPr txBox="1">
          <a:spLocks noChangeArrowheads="1"/>
        </xdr:cNvSpPr>
      </xdr:nvSpPr>
      <xdr:spPr bwMode="auto">
        <a:xfrm>
          <a:off x="32651700" y="4514850"/>
          <a:ext cx="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u="none" strike="noStrike" baseline="0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u="none" strike="noStrike" baseline="0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u="none" strike="noStrike" baseline="0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u="none" strike="noStrike" baseline="0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u="none" strike="noStrike" baseline="0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u="none" strike="noStrike" baseline="0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74</xdr:col>
      <xdr:colOff>0</xdr:colOff>
      <xdr:row>19</xdr:row>
      <xdr:rowOff>0</xdr:rowOff>
    </xdr:from>
    <xdr:to>
      <xdr:col>74</xdr:col>
      <xdr:colOff>0</xdr:colOff>
      <xdr:row>19</xdr:row>
      <xdr:rowOff>0</xdr:rowOff>
    </xdr:to>
    <xdr:sp macro="" textlink="">
      <xdr:nvSpPr>
        <xdr:cNvPr id="1988813" name="Texto 13"/>
        <xdr:cNvSpPr txBox="1">
          <a:spLocks noChangeArrowheads="1"/>
        </xdr:cNvSpPr>
      </xdr:nvSpPr>
      <xdr:spPr bwMode="auto">
        <a:xfrm>
          <a:off x="32651700" y="4514850"/>
          <a:ext cx="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u="none" strike="noStrike" baseline="0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u="none" strike="noStrike" baseline="0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u="none" strike="noStrike" baseline="0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u="none" strike="noStrike" baseline="0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u="none" strike="noStrike" baseline="0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u="none" strike="noStrike" baseline="0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 editAs="oneCell">
    <xdr:from>
      <xdr:col>0</xdr:col>
      <xdr:colOff>76200</xdr:colOff>
      <xdr:row>1</xdr:row>
      <xdr:rowOff>0</xdr:rowOff>
    </xdr:from>
    <xdr:to>
      <xdr:col>0</xdr:col>
      <xdr:colOff>1257300</xdr:colOff>
      <xdr:row>2</xdr:row>
      <xdr:rowOff>123825</xdr:rowOff>
    </xdr:to>
    <xdr:pic>
      <xdr:nvPicPr>
        <xdr:cNvPr id="628678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190500"/>
          <a:ext cx="11811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1</xdr:row>
      <xdr:rowOff>9525</xdr:rowOff>
    </xdr:from>
    <xdr:to>
      <xdr:col>0</xdr:col>
      <xdr:colOff>1343025</xdr:colOff>
      <xdr:row>2</xdr:row>
      <xdr:rowOff>133350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200025"/>
          <a:ext cx="12477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0</xdr:colOff>
      <xdr:row>16</xdr:row>
      <xdr:rowOff>0</xdr:rowOff>
    </xdr:from>
    <xdr:to>
      <xdr:col>37</xdr:col>
      <xdr:colOff>0</xdr:colOff>
      <xdr:row>16</xdr:row>
      <xdr:rowOff>0</xdr:rowOff>
    </xdr:to>
    <xdr:sp macro="" textlink="">
      <xdr:nvSpPr>
        <xdr:cNvPr id="2" name="Texto 13"/>
        <xdr:cNvSpPr txBox="1">
          <a:spLocks noChangeArrowheads="1"/>
        </xdr:cNvSpPr>
      </xdr:nvSpPr>
      <xdr:spPr bwMode="auto">
        <a:xfrm>
          <a:off x="26193750" y="3181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16</xdr:row>
      <xdr:rowOff>0</xdr:rowOff>
    </xdr:from>
    <xdr:to>
      <xdr:col>37</xdr:col>
      <xdr:colOff>0</xdr:colOff>
      <xdr:row>16</xdr:row>
      <xdr:rowOff>0</xdr:rowOff>
    </xdr:to>
    <xdr:sp macro="" textlink="">
      <xdr:nvSpPr>
        <xdr:cNvPr id="3" name="Texto 13"/>
        <xdr:cNvSpPr txBox="1">
          <a:spLocks noChangeArrowheads="1"/>
        </xdr:cNvSpPr>
      </xdr:nvSpPr>
      <xdr:spPr bwMode="auto">
        <a:xfrm>
          <a:off x="26193750" y="3181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16</xdr:row>
      <xdr:rowOff>0</xdr:rowOff>
    </xdr:from>
    <xdr:to>
      <xdr:col>37</xdr:col>
      <xdr:colOff>0</xdr:colOff>
      <xdr:row>16</xdr:row>
      <xdr:rowOff>0</xdr:rowOff>
    </xdr:to>
    <xdr:sp macro="" textlink="">
      <xdr:nvSpPr>
        <xdr:cNvPr id="4" name="Texto 13"/>
        <xdr:cNvSpPr txBox="1">
          <a:spLocks noChangeArrowheads="1"/>
        </xdr:cNvSpPr>
      </xdr:nvSpPr>
      <xdr:spPr bwMode="auto">
        <a:xfrm>
          <a:off x="26193750" y="3181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16</xdr:row>
      <xdr:rowOff>0</xdr:rowOff>
    </xdr:from>
    <xdr:to>
      <xdr:col>37</xdr:col>
      <xdr:colOff>0</xdr:colOff>
      <xdr:row>16</xdr:row>
      <xdr:rowOff>0</xdr:rowOff>
    </xdr:to>
    <xdr:sp macro="" textlink="">
      <xdr:nvSpPr>
        <xdr:cNvPr id="5" name="Texto 13"/>
        <xdr:cNvSpPr txBox="1">
          <a:spLocks noChangeArrowheads="1"/>
        </xdr:cNvSpPr>
      </xdr:nvSpPr>
      <xdr:spPr bwMode="auto">
        <a:xfrm>
          <a:off x="26193750" y="3181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16</xdr:row>
      <xdr:rowOff>0</xdr:rowOff>
    </xdr:from>
    <xdr:to>
      <xdr:col>37</xdr:col>
      <xdr:colOff>0</xdr:colOff>
      <xdr:row>16</xdr:row>
      <xdr:rowOff>0</xdr:rowOff>
    </xdr:to>
    <xdr:sp macro="" textlink="">
      <xdr:nvSpPr>
        <xdr:cNvPr id="6" name="Texto 13"/>
        <xdr:cNvSpPr txBox="1">
          <a:spLocks noChangeArrowheads="1"/>
        </xdr:cNvSpPr>
      </xdr:nvSpPr>
      <xdr:spPr bwMode="auto">
        <a:xfrm>
          <a:off x="26193750" y="3181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16</xdr:row>
      <xdr:rowOff>0</xdr:rowOff>
    </xdr:from>
    <xdr:to>
      <xdr:col>37</xdr:col>
      <xdr:colOff>0</xdr:colOff>
      <xdr:row>16</xdr:row>
      <xdr:rowOff>0</xdr:rowOff>
    </xdr:to>
    <xdr:sp macro="" textlink="">
      <xdr:nvSpPr>
        <xdr:cNvPr id="7" name="Texto 13"/>
        <xdr:cNvSpPr txBox="1">
          <a:spLocks noChangeArrowheads="1"/>
        </xdr:cNvSpPr>
      </xdr:nvSpPr>
      <xdr:spPr bwMode="auto">
        <a:xfrm>
          <a:off x="26193750" y="3181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16</xdr:row>
      <xdr:rowOff>0</xdr:rowOff>
    </xdr:from>
    <xdr:to>
      <xdr:col>37</xdr:col>
      <xdr:colOff>0</xdr:colOff>
      <xdr:row>16</xdr:row>
      <xdr:rowOff>0</xdr:rowOff>
    </xdr:to>
    <xdr:sp macro="" textlink="">
      <xdr:nvSpPr>
        <xdr:cNvPr id="8" name="Texto 13"/>
        <xdr:cNvSpPr txBox="1">
          <a:spLocks noChangeArrowheads="1"/>
        </xdr:cNvSpPr>
      </xdr:nvSpPr>
      <xdr:spPr bwMode="auto">
        <a:xfrm>
          <a:off x="26193750" y="3181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16</xdr:row>
      <xdr:rowOff>0</xdr:rowOff>
    </xdr:from>
    <xdr:to>
      <xdr:col>37</xdr:col>
      <xdr:colOff>0</xdr:colOff>
      <xdr:row>16</xdr:row>
      <xdr:rowOff>0</xdr:rowOff>
    </xdr:to>
    <xdr:sp macro="" textlink="">
      <xdr:nvSpPr>
        <xdr:cNvPr id="9" name="Texto 13"/>
        <xdr:cNvSpPr txBox="1">
          <a:spLocks noChangeArrowheads="1"/>
        </xdr:cNvSpPr>
      </xdr:nvSpPr>
      <xdr:spPr bwMode="auto">
        <a:xfrm>
          <a:off x="26193750" y="3181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16</xdr:row>
      <xdr:rowOff>0</xdr:rowOff>
    </xdr:from>
    <xdr:to>
      <xdr:col>37</xdr:col>
      <xdr:colOff>0</xdr:colOff>
      <xdr:row>16</xdr:row>
      <xdr:rowOff>0</xdr:rowOff>
    </xdr:to>
    <xdr:sp macro="" textlink="">
      <xdr:nvSpPr>
        <xdr:cNvPr id="10" name="Texto 13"/>
        <xdr:cNvSpPr txBox="1">
          <a:spLocks noChangeArrowheads="1"/>
        </xdr:cNvSpPr>
      </xdr:nvSpPr>
      <xdr:spPr bwMode="auto">
        <a:xfrm>
          <a:off x="26193750" y="3181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16</xdr:row>
      <xdr:rowOff>0</xdr:rowOff>
    </xdr:from>
    <xdr:to>
      <xdr:col>37</xdr:col>
      <xdr:colOff>0</xdr:colOff>
      <xdr:row>16</xdr:row>
      <xdr:rowOff>0</xdr:rowOff>
    </xdr:to>
    <xdr:sp macro="" textlink="">
      <xdr:nvSpPr>
        <xdr:cNvPr id="11" name="Texto 13"/>
        <xdr:cNvSpPr txBox="1">
          <a:spLocks noChangeArrowheads="1"/>
        </xdr:cNvSpPr>
      </xdr:nvSpPr>
      <xdr:spPr bwMode="auto">
        <a:xfrm>
          <a:off x="26193750" y="3181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16</xdr:row>
      <xdr:rowOff>0</xdr:rowOff>
    </xdr:from>
    <xdr:to>
      <xdr:col>37</xdr:col>
      <xdr:colOff>0</xdr:colOff>
      <xdr:row>16</xdr:row>
      <xdr:rowOff>0</xdr:rowOff>
    </xdr:to>
    <xdr:sp macro="" textlink="">
      <xdr:nvSpPr>
        <xdr:cNvPr id="12" name="Texto 13"/>
        <xdr:cNvSpPr txBox="1">
          <a:spLocks noChangeArrowheads="1"/>
        </xdr:cNvSpPr>
      </xdr:nvSpPr>
      <xdr:spPr bwMode="auto">
        <a:xfrm>
          <a:off x="26193750" y="3181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16</xdr:row>
      <xdr:rowOff>0</xdr:rowOff>
    </xdr:from>
    <xdr:to>
      <xdr:col>37</xdr:col>
      <xdr:colOff>0</xdr:colOff>
      <xdr:row>16</xdr:row>
      <xdr:rowOff>0</xdr:rowOff>
    </xdr:to>
    <xdr:sp macro="" textlink="">
      <xdr:nvSpPr>
        <xdr:cNvPr id="13" name="Texto 13"/>
        <xdr:cNvSpPr txBox="1">
          <a:spLocks noChangeArrowheads="1"/>
        </xdr:cNvSpPr>
      </xdr:nvSpPr>
      <xdr:spPr bwMode="auto">
        <a:xfrm>
          <a:off x="26193750" y="3181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16</xdr:row>
      <xdr:rowOff>0</xdr:rowOff>
    </xdr:from>
    <xdr:to>
      <xdr:col>37</xdr:col>
      <xdr:colOff>0</xdr:colOff>
      <xdr:row>16</xdr:row>
      <xdr:rowOff>0</xdr:rowOff>
    </xdr:to>
    <xdr:sp macro="" textlink="">
      <xdr:nvSpPr>
        <xdr:cNvPr id="14" name="Texto 13"/>
        <xdr:cNvSpPr txBox="1">
          <a:spLocks noChangeArrowheads="1"/>
        </xdr:cNvSpPr>
      </xdr:nvSpPr>
      <xdr:spPr bwMode="auto">
        <a:xfrm>
          <a:off x="26193750" y="3181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16</xdr:row>
      <xdr:rowOff>0</xdr:rowOff>
    </xdr:from>
    <xdr:to>
      <xdr:col>37</xdr:col>
      <xdr:colOff>0</xdr:colOff>
      <xdr:row>16</xdr:row>
      <xdr:rowOff>0</xdr:rowOff>
    </xdr:to>
    <xdr:sp macro="" textlink="">
      <xdr:nvSpPr>
        <xdr:cNvPr id="15" name="Texto 13"/>
        <xdr:cNvSpPr txBox="1">
          <a:spLocks noChangeArrowheads="1"/>
        </xdr:cNvSpPr>
      </xdr:nvSpPr>
      <xdr:spPr bwMode="auto">
        <a:xfrm>
          <a:off x="26193750" y="3181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1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oneCellAnchor>
    <xdr:from>
      <xdr:col>0</xdr:col>
      <xdr:colOff>114300</xdr:colOff>
      <xdr:row>0</xdr:row>
      <xdr:rowOff>152400</xdr:rowOff>
    </xdr:from>
    <xdr:ext cx="1181100" cy="314325"/>
    <xdr:pic>
      <xdr:nvPicPr>
        <xdr:cNvPr id="1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52400"/>
          <a:ext cx="11811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0</xdr:rowOff>
    </xdr:from>
    <xdr:to>
      <xdr:col>0</xdr:col>
      <xdr:colOff>1266825</xdr:colOff>
      <xdr:row>2</xdr:row>
      <xdr:rowOff>123825</xdr:rowOff>
    </xdr:to>
    <xdr:pic>
      <xdr:nvPicPr>
        <xdr:cNvPr id="627510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190500"/>
          <a:ext cx="11811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1</xdr:row>
      <xdr:rowOff>9525</xdr:rowOff>
    </xdr:from>
    <xdr:to>
      <xdr:col>0</xdr:col>
      <xdr:colOff>1285875</xdr:colOff>
      <xdr:row>2</xdr:row>
      <xdr:rowOff>123825</xdr:rowOff>
    </xdr:to>
    <xdr:pic>
      <xdr:nvPicPr>
        <xdr:cNvPr id="62884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200025"/>
          <a:ext cx="11811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0</xdr:rowOff>
    </xdr:from>
    <xdr:to>
      <xdr:col>0</xdr:col>
      <xdr:colOff>1266825</xdr:colOff>
      <xdr:row>2</xdr:row>
      <xdr:rowOff>123825</xdr:rowOff>
    </xdr:to>
    <xdr:pic>
      <xdr:nvPicPr>
        <xdr:cNvPr id="628943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190500"/>
          <a:ext cx="11811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1</xdr:row>
      <xdr:rowOff>0</xdr:rowOff>
    </xdr:from>
    <xdr:to>
      <xdr:col>0</xdr:col>
      <xdr:colOff>1295400</xdr:colOff>
      <xdr:row>2</xdr:row>
      <xdr:rowOff>123825</xdr:rowOff>
    </xdr:to>
    <xdr:pic>
      <xdr:nvPicPr>
        <xdr:cNvPr id="629046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90500"/>
          <a:ext cx="11811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1</xdr:row>
      <xdr:rowOff>28575</xdr:rowOff>
    </xdr:from>
    <xdr:to>
      <xdr:col>0</xdr:col>
      <xdr:colOff>1209675</xdr:colOff>
      <xdr:row>2</xdr:row>
      <xdr:rowOff>152400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19075"/>
          <a:ext cx="11811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1</xdr:row>
      <xdr:rowOff>9525</xdr:rowOff>
    </xdr:from>
    <xdr:to>
      <xdr:col>0</xdr:col>
      <xdr:colOff>1343025</xdr:colOff>
      <xdr:row>2</xdr:row>
      <xdr:rowOff>133350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200025"/>
          <a:ext cx="12477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0</xdr:colOff>
      <xdr:row>11</xdr:row>
      <xdr:rowOff>0</xdr:rowOff>
    </xdr:from>
    <xdr:to>
      <xdr:col>37</xdr:col>
      <xdr:colOff>0</xdr:colOff>
      <xdr:row>11</xdr:row>
      <xdr:rowOff>0</xdr:rowOff>
    </xdr:to>
    <xdr:sp macro="" textlink="">
      <xdr:nvSpPr>
        <xdr:cNvPr id="34817" name="Texto 13"/>
        <xdr:cNvSpPr txBox="1">
          <a:spLocks noChangeArrowheads="1"/>
        </xdr:cNvSpPr>
      </xdr:nvSpPr>
      <xdr:spPr bwMode="auto">
        <a:xfrm>
          <a:off x="914400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11</xdr:row>
      <xdr:rowOff>0</xdr:rowOff>
    </xdr:from>
    <xdr:to>
      <xdr:col>37</xdr:col>
      <xdr:colOff>0</xdr:colOff>
      <xdr:row>11</xdr:row>
      <xdr:rowOff>0</xdr:rowOff>
    </xdr:to>
    <xdr:sp macro="" textlink="">
      <xdr:nvSpPr>
        <xdr:cNvPr id="34819" name="Texto 13"/>
        <xdr:cNvSpPr txBox="1">
          <a:spLocks noChangeArrowheads="1"/>
        </xdr:cNvSpPr>
      </xdr:nvSpPr>
      <xdr:spPr bwMode="auto">
        <a:xfrm>
          <a:off x="914400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11</xdr:row>
      <xdr:rowOff>0</xdr:rowOff>
    </xdr:from>
    <xdr:to>
      <xdr:col>37</xdr:col>
      <xdr:colOff>0</xdr:colOff>
      <xdr:row>11</xdr:row>
      <xdr:rowOff>0</xdr:rowOff>
    </xdr:to>
    <xdr:sp macro="" textlink="">
      <xdr:nvSpPr>
        <xdr:cNvPr id="34820" name="Texto 13"/>
        <xdr:cNvSpPr txBox="1">
          <a:spLocks noChangeArrowheads="1"/>
        </xdr:cNvSpPr>
      </xdr:nvSpPr>
      <xdr:spPr bwMode="auto">
        <a:xfrm>
          <a:off x="914400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11</xdr:row>
      <xdr:rowOff>0</xdr:rowOff>
    </xdr:from>
    <xdr:to>
      <xdr:col>37</xdr:col>
      <xdr:colOff>0</xdr:colOff>
      <xdr:row>11</xdr:row>
      <xdr:rowOff>0</xdr:rowOff>
    </xdr:to>
    <xdr:sp macro="" textlink="">
      <xdr:nvSpPr>
        <xdr:cNvPr id="34821" name="Texto 13"/>
        <xdr:cNvSpPr txBox="1">
          <a:spLocks noChangeArrowheads="1"/>
        </xdr:cNvSpPr>
      </xdr:nvSpPr>
      <xdr:spPr bwMode="auto">
        <a:xfrm>
          <a:off x="914400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11</xdr:row>
      <xdr:rowOff>0</xdr:rowOff>
    </xdr:from>
    <xdr:to>
      <xdr:col>37</xdr:col>
      <xdr:colOff>0</xdr:colOff>
      <xdr:row>11</xdr:row>
      <xdr:rowOff>0</xdr:rowOff>
    </xdr:to>
    <xdr:sp macro="" textlink="">
      <xdr:nvSpPr>
        <xdr:cNvPr id="34822" name="Texto 13"/>
        <xdr:cNvSpPr txBox="1">
          <a:spLocks noChangeArrowheads="1"/>
        </xdr:cNvSpPr>
      </xdr:nvSpPr>
      <xdr:spPr bwMode="auto">
        <a:xfrm>
          <a:off x="914400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11</xdr:row>
      <xdr:rowOff>0</xdr:rowOff>
    </xdr:from>
    <xdr:to>
      <xdr:col>37</xdr:col>
      <xdr:colOff>0</xdr:colOff>
      <xdr:row>11</xdr:row>
      <xdr:rowOff>0</xdr:rowOff>
    </xdr:to>
    <xdr:sp macro="" textlink="">
      <xdr:nvSpPr>
        <xdr:cNvPr id="34823" name="Texto 13"/>
        <xdr:cNvSpPr txBox="1">
          <a:spLocks noChangeArrowheads="1"/>
        </xdr:cNvSpPr>
      </xdr:nvSpPr>
      <xdr:spPr bwMode="auto">
        <a:xfrm>
          <a:off x="914400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11</xdr:row>
      <xdr:rowOff>0</xdr:rowOff>
    </xdr:from>
    <xdr:to>
      <xdr:col>37</xdr:col>
      <xdr:colOff>0</xdr:colOff>
      <xdr:row>11</xdr:row>
      <xdr:rowOff>0</xdr:rowOff>
    </xdr:to>
    <xdr:sp macro="" textlink="">
      <xdr:nvSpPr>
        <xdr:cNvPr id="34824" name="Texto 13"/>
        <xdr:cNvSpPr txBox="1">
          <a:spLocks noChangeArrowheads="1"/>
        </xdr:cNvSpPr>
      </xdr:nvSpPr>
      <xdr:spPr bwMode="auto">
        <a:xfrm>
          <a:off x="914400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11</xdr:row>
      <xdr:rowOff>0</xdr:rowOff>
    </xdr:from>
    <xdr:to>
      <xdr:col>37</xdr:col>
      <xdr:colOff>0</xdr:colOff>
      <xdr:row>11</xdr:row>
      <xdr:rowOff>0</xdr:rowOff>
    </xdr:to>
    <xdr:sp macro="" textlink="">
      <xdr:nvSpPr>
        <xdr:cNvPr id="34825" name="Texto 13"/>
        <xdr:cNvSpPr txBox="1">
          <a:spLocks noChangeArrowheads="1"/>
        </xdr:cNvSpPr>
      </xdr:nvSpPr>
      <xdr:spPr bwMode="auto">
        <a:xfrm>
          <a:off x="914400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11</xdr:row>
      <xdr:rowOff>0</xdr:rowOff>
    </xdr:from>
    <xdr:to>
      <xdr:col>37</xdr:col>
      <xdr:colOff>0</xdr:colOff>
      <xdr:row>11</xdr:row>
      <xdr:rowOff>0</xdr:rowOff>
    </xdr:to>
    <xdr:sp macro="" textlink="">
      <xdr:nvSpPr>
        <xdr:cNvPr id="34827" name="Texto 13"/>
        <xdr:cNvSpPr txBox="1">
          <a:spLocks noChangeArrowheads="1"/>
        </xdr:cNvSpPr>
      </xdr:nvSpPr>
      <xdr:spPr bwMode="auto">
        <a:xfrm>
          <a:off x="914400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11</xdr:row>
      <xdr:rowOff>0</xdr:rowOff>
    </xdr:from>
    <xdr:to>
      <xdr:col>37</xdr:col>
      <xdr:colOff>0</xdr:colOff>
      <xdr:row>11</xdr:row>
      <xdr:rowOff>0</xdr:rowOff>
    </xdr:to>
    <xdr:sp macro="" textlink="">
      <xdr:nvSpPr>
        <xdr:cNvPr id="34828" name="Texto 13"/>
        <xdr:cNvSpPr txBox="1">
          <a:spLocks noChangeArrowheads="1"/>
        </xdr:cNvSpPr>
      </xdr:nvSpPr>
      <xdr:spPr bwMode="auto">
        <a:xfrm>
          <a:off x="914400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11</xdr:row>
      <xdr:rowOff>0</xdr:rowOff>
    </xdr:from>
    <xdr:to>
      <xdr:col>37</xdr:col>
      <xdr:colOff>0</xdr:colOff>
      <xdr:row>11</xdr:row>
      <xdr:rowOff>0</xdr:rowOff>
    </xdr:to>
    <xdr:sp macro="" textlink="">
      <xdr:nvSpPr>
        <xdr:cNvPr id="34829" name="Texto 13"/>
        <xdr:cNvSpPr txBox="1">
          <a:spLocks noChangeArrowheads="1"/>
        </xdr:cNvSpPr>
      </xdr:nvSpPr>
      <xdr:spPr bwMode="auto">
        <a:xfrm>
          <a:off x="914400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11</xdr:row>
      <xdr:rowOff>0</xdr:rowOff>
    </xdr:from>
    <xdr:to>
      <xdr:col>37</xdr:col>
      <xdr:colOff>0</xdr:colOff>
      <xdr:row>11</xdr:row>
      <xdr:rowOff>0</xdr:rowOff>
    </xdr:to>
    <xdr:sp macro="" textlink="">
      <xdr:nvSpPr>
        <xdr:cNvPr id="34830" name="Texto 13"/>
        <xdr:cNvSpPr txBox="1">
          <a:spLocks noChangeArrowheads="1"/>
        </xdr:cNvSpPr>
      </xdr:nvSpPr>
      <xdr:spPr bwMode="auto">
        <a:xfrm>
          <a:off x="914400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11</xdr:row>
      <xdr:rowOff>0</xdr:rowOff>
    </xdr:from>
    <xdr:to>
      <xdr:col>37</xdr:col>
      <xdr:colOff>0</xdr:colOff>
      <xdr:row>11</xdr:row>
      <xdr:rowOff>0</xdr:rowOff>
    </xdr:to>
    <xdr:sp macro="" textlink="">
      <xdr:nvSpPr>
        <xdr:cNvPr id="34831" name="Texto 13"/>
        <xdr:cNvSpPr txBox="1">
          <a:spLocks noChangeArrowheads="1"/>
        </xdr:cNvSpPr>
      </xdr:nvSpPr>
      <xdr:spPr bwMode="auto">
        <a:xfrm>
          <a:off x="914400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11</xdr:row>
      <xdr:rowOff>0</xdr:rowOff>
    </xdr:from>
    <xdr:to>
      <xdr:col>37</xdr:col>
      <xdr:colOff>0</xdr:colOff>
      <xdr:row>11</xdr:row>
      <xdr:rowOff>0</xdr:rowOff>
    </xdr:to>
    <xdr:sp macro="" textlink="">
      <xdr:nvSpPr>
        <xdr:cNvPr id="34832" name="Texto 13"/>
        <xdr:cNvSpPr txBox="1">
          <a:spLocks noChangeArrowheads="1"/>
        </xdr:cNvSpPr>
      </xdr:nvSpPr>
      <xdr:spPr bwMode="auto">
        <a:xfrm>
          <a:off x="914400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11</xdr:row>
      <xdr:rowOff>0</xdr:rowOff>
    </xdr:from>
    <xdr:to>
      <xdr:col>37</xdr:col>
      <xdr:colOff>0</xdr:colOff>
      <xdr:row>11</xdr:row>
      <xdr:rowOff>0</xdr:rowOff>
    </xdr:to>
    <xdr:sp macro="" textlink="">
      <xdr:nvSpPr>
        <xdr:cNvPr id="34833" name="Texto 13"/>
        <xdr:cNvSpPr txBox="1">
          <a:spLocks noChangeArrowheads="1"/>
        </xdr:cNvSpPr>
      </xdr:nvSpPr>
      <xdr:spPr bwMode="auto">
        <a:xfrm>
          <a:off x="914400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11</xdr:row>
      <xdr:rowOff>0</xdr:rowOff>
    </xdr:from>
    <xdr:to>
      <xdr:col>37</xdr:col>
      <xdr:colOff>0</xdr:colOff>
      <xdr:row>11</xdr:row>
      <xdr:rowOff>0</xdr:rowOff>
    </xdr:to>
    <xdr:sp macro="" textlink="">
      <xdr:nvSpPr>
        <xdr:cNvPr id="34835" name="Texto 13"/>
        <xdr:cNvSpPr txBox="1">
          <a:spLocks noChangeArrowheads="1"/>
        </xdr:cNvSpPr>
      </xdr:nvSpPr>
      <xdr:spPr bwMode="auto">
        <a:xfrm>
          <a:off x="914400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11</xdr:row>
      <xdr:rowOff>0</xdr:rowOff>
    </xdr:from>
    <xdr:to>
      <xdr:col>37</xdr:col>
      <xdr:colOff>0</xdr:colOff>
      <xdr:row>11</xdr:row>
      <xdr:rowOff>0</xdr:rowOff>
    </xdr:to>
    <xdr:sp macro="" textlink="">
      <xdr:nvSpPr>
        <xdr:cNvPr id="34836" name="Texto 13"/>
        <xdr:cNvSpPr txBox="1">
          <a:spLocks noChangeArrowheads="1"/>
        </xdr:cNvSpPr>
      </xdr:nvSpPr>
      <xdr:spPr bwMode="auto">
        <a:xfrm>
          <a:off x="914400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11</xdr:row>
      <xdr:rowOff>0</xdr:rowOff>
    </xdr:from>
    <xdr:to>
      <xdr:col>37</xdr:col>
      <xdr:colOff>0</xdr:colOff>
      <xdr:row>11</xdr:row>
      <xdr:rowOff>0</xdr:rowOff>
    </xdr:to>
    <xdr:sp macro="" textlink="">
      <xdr:nvSpPr>
        <xdr:cNvPr id="34837" name="Texto 13"/>
        <xdr:cNvSpPr txBox="1">
          <a:spLocks noChangeArrowheads="1"/>
        </xdr:cNvSpPr>
      </xdr:nvSpPr>
      <xdr:spPr bwMode="auto">
        <a:xfrm>
          <a:off x="914400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11</xdr:row>
      <xdr:rowOff>0</xdr:rowOff>
    </xdr:from>
    <xdr:to>
      <xdr:col>37</xdr:col>
      <xdr:colOff>0</xdr:colOff>
      <xdr:row>11</xdr:row>
      <xdr:rowOff>0</xdr:rowOff>
    </xdr:to>
    <xdr:sp macro="" textlink="">
      <xdr:nvSpPr>
        <xdr:cNvPr id="34838" name="Texto 13"/>
        <xdr:cNvSpPr txBox="1">
          <a:spLocks noChangeArrowheads="1"/>
        </xdr:cNvSpPr>
      </xdr:nvSpPr>
      <xdr:spPr bwMode="auto">
        <a:xfrm>
          <a:off x="914400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11</xdr:row>
      <xdr:rowOff>0</xdr:rowOff>
    </xdr:from>
    <xdr:to>
      <xdr:col>37</xdr:col>
      <xdr:colOff>0</xdr:colOff>
      <xdr:row>11</xdr:row>
      <xdr:rowOff>0</xdr:rowOff>
    </xdr:to>
    <xdr:sp macro="" textlink="">
      <xdr:nvSpPr>
        <xdr:cNvPr id="34839" name="Texto 13"/>
        <xdr:cNvSpPr txBox="1">
          <a:spLocks noChangeArrowheads="1"/>
        </xdr:cNvSpPr>
      </xdr:nvSpPr>
      <xdr:spPr bwMode="auto">
        <a:xfrm>
          <a:off x="914400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11</xdr:row>
      <xdr:rowOff>0</xdr:rowOff>
    </xdr:from>
    <xdr:to>
      <xdr:col>37</xdr:col>
      <xdr:colOff>0</xdr:colOff>
      <xdr:row>11</xdr:row>
      <xdr:rowOff>0</xdr:rowOff>
    </xdr:to>
    <xdr:sp macro="" textlink="">
      <xdr:nvSpPr>
        <xdr:cNvPr id="34840" name="Texto 13"/>
        <xdr:cNvSpPr txBox="1">
          <a:spLocks noChangeArrowheads="1"/>
        </xdr:cNvSpPr>
      </xdr:nvSpPr>
      <xdr:spPr bwMode="auto">
        <a:xfrm>
          <a:off x="914400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11</xdr:row>
      <xdr:rowOff>0</xdr:rowOff>
    </xdr:from>
    <xdr:to>
      <xdr:col>37</xdr:col>
      <xdr:colOff>0</xdr:colOff>
      <xdr:row>11</xdr:row>
      <xdr:rowOff>0</xdr:rowOff>
    </xdr:to>
    <xdr:sp macro="" textlink="">
      <xdr:nvSpPr>
        <xdr:cNvPr id="34841" name="Texto 13"/>
        <xdr:cNvSpPr txBox="1">
          <a:spLocks noChangeArrowheads="1"/>
        </xdr:cNvSpPr>
      </xdr:nvSpPr>
      <xdr:spPr bwMode="auto">
        <a:xfrm>
          <a:off x="914400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11</xdr:row>
      <xdr:rowOff>0</xdr:rowOff>
    </xdr:from>
    <xdr:to>
      <xdr:col>37</xdr:col>
      <xdr:colOff>0</xdr:colOff>
      <xdr:row>11</xdr:row>
      <xdr:rowOff>0</xdr:rowOff>
    </xdr:to>
    <xdr:sp macro="" textlink="">
      <xdr:nvSpPr>
        <xdr:cNvPr id="34843" name="Texto 13"/>
        <xdr:cNvSpPr txBox="1">
          <a:spLocks noChangeArrowheads="1"/>
        </xdr:cNvSpPr>
      </xdr:nvSpPr>
      <xdr:spPr bwMode="auto">
        <a:xfrm>
          <a:off x="914400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11</xdr:row>
      <xdr:rowOff>0</xdr:rowOff>
    </xdr:from>
    <xdr:to>
      <xdr:col>37</xdr:col>
      <xdr:colOff>0</xdr:colOff>
      <xdr:row>11</xdr:row>
      <xdr:rowOff>0</xdr:rowOff>
    </xdr:to>
    <xdr:sp macro="" textlink="">
      <xdr:nvSpPr>
        <xdr:cNvPr id="34844" name="Texto 13"/>
        <xdr:cNvSpPr txBox="1">
          <a:spLocks noChangeArrowheads="1"/>
        </xdr:cNvSpPr>
      </xdr:nvSpPr>
      <xdr:spPr bwMode="auto">
        <a:xfrm>
          <a:off x="914400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11</xdr:row>
      <xdr:rowOff>0</xdr:rowOff>
    </xdr:from>
    <xdr:to>
      <xdr:col>37</xdr:col>
      <xdr:colOff>0</xdr:colOff>
      <xdr:row>11</xdr:row>
      <xdr:rowOff>0</xdr:rowOff>
    </xdr:to>
    <xdr:sp macro="" textlink="">
      <xdr:nvSpPr>
        <xdr:cNvPr id="34845" name="Texto 13"/>
        <xdr:cNvSpPr txBox="1">
          <a:spLocks noChangeArrowheads="1"/>
        </xdr:cNvSpPr>
      </xdr:nvSpPr>
      <xdr:spPr bwMode="auto">
        <a:xfrm>
          <a:off x="914400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11</xdr:row>
      <xdr:rowOff>0</xdr:rowOff>
    </xdr:from>
    <xdr:to>
      <xdr:col>37</xdr:col>
      <xdr:colOff>0</xdr:colOff>
      <xdr:row>11</xdr:row>
      <xdr:rowOff>0</xdr:rowOff>
    </xdr:to>
    <xdr:sp macro="" textlink="">
      <xdr:nvSpPr>
        <xdr:cNvPr id="34846" name="Texto 13"/>
        <xdr:cNvSpPr txBox="1">
          <a:spLocks noChangeArrowheads="1"/>
        </xdr:cNvSpPr>
      </xdr:nvSpPr>
      <xdr:spPr bwMode="auto">
        <a:xfrm>
          <a:off x="914400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11</xdr:row>
      <xdr:rowOff>0</xdr:rowOff>
    </xdr:from>
    <xdr:to>
      <xdr:col>37</xdr:col>
      <xdr:colOff>0</xdr:colOff>
      <xdr:row>11</xdr:row>
      <xdr:rowOff>0</xdr:rowOff>
    </xdr:to>
    <xdr:sp macro="" textlink="">
      <xdr:nvSpPr>
        <xdr:cNvPr id="34847" name="Texto 13"/>
        <xdr:cNvSpPr txBox="1">
          <a:spLocks noChangeArrowheads="1"/>
        </xdr:cNvSpPr>
      </xdr:nvSpPr>
      <xdr:spPr bwMode="auto">
        <a:xfrm>
          <a:off x="914400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>
    <xdr:from>
      <xdr:col>37</xdr:col>
      <xdr:colOff>0</xdr:colOff>
      <xdr:row>11</xdr:row>
      <xdr:rowOff>0</xdr:rowOff>
    </xdr:from>
    <xdr:to>
      <xdr:col>37</xdr:col>
      <xdr:colOff>0</xdr:colOff>
      <xdr:row>11</xdr:row>
      <xdr:rowOff>0</xdr:rowOff>
    </xdr:to>
    <xdr:sp macro="" textlink="">
      <xdr:nvSpPr>
        <xdr:cNvPr id="34848" name="Texto 13"/>
        <xdr:cNvSpPr txBox="1">
          <a:spLocks noChangeArrowheads="1"/>
        </xdr:cNvSpPr>
      </xdr:nvSpPr>
      <xdr:spPr bwMode="auto">
        <a:xfrm>
          <a:off x="9144000" y="232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Companhia Aberta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2.414.603 Acionistas</a:t>
          </a:r>
        </a:p>
        <a:p>
          <a:pPr algn="l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Utopia"/>
            </a:rPr>
            <a:t>935.559.257.828 Ações</a:t>
          </a:r>
          <a:endParaRPr lang="pt-BR" sz="1000" b="0" i="0" strike="noStrike">
            <a:solidFill>
              <a:srgbClr val="000000"/>
            </a:solidFill>
            <a:latin typeface="Courier"/>
          </a:endParaRP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C.G.C. 60.746.948/0001-12</a:t>
          </a:r>
        </a:p>
        <a:p>
          <a:pPr algn="l" rtl="0">
            <a:defRPr sz="1000"/>
          </a:pPr>
          <a:r>
            <a:rPr lang="pt-BR" sz="600" b="0" i="0" strike="noStrike">
              <a:solidFill>
                <a:srgbClr val="000000"/>
              </a:solidFill>
              <a:latin typeface="Frutiger 45 Light"/>
            </a:rPr>
            <a:t>Sede: Cidade de Deus, Osasco, SP</a:t>
          </a:r>
        </a:p>
      </xdr:txBody>
    </xdr:sp>
    <xdr:clientData/>
  </xdr:twoCellAnchor>
  <xdr:twoCellAnchor editAs="oneCell">
    <xdr:from>
      <xdr:col>0</xdr:col>
      <xdr:colOff>76200</xdr:colOff>
      <xdr:row>1</xdr:row>
      <xdr:rowOff>9525</xdr:rowOff>
    </xdr:from>
    <xdr:to>
      <xdr:col>0</xdr:col>
      <xdr:colOff>1257300</xdr:colOff>
      <xdr:row>2</xdr:row>
      <xdr:rowOff>133350</xdr:rowOff>
    </xdr:to>
    <xdr:pic>
      <xdr:nvPicPr>
        <xdr:cNvPr id="629334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00025"/>
          <a:ext cx="11811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152400</xdr:rowOff>
    </xdr:from>
    <xdr:to>
      <xdr:col>0</xdr:col>
      <xdr:colOff>1285875</xdr:colOff>
      <xdr:row>2</xdr:row>
      <xdr:rowOff>85725</xdr:rowOff>
    </xdr:to>
    <xdr:pic>
      <xdr:nvPicPr>
        <xdr:cNvPr id="62935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52400"/>
          <a:ext cx="11811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0</xdr:rowOff>
    </xdr:from>
    <xdr:to>
      <xdr:col>0</xdr:col>
      <xdr:colOff>1266825</xdr:colOff>
      <xdr:row>2</xdr:row>
      <xdr:rowOff>123825</xdr:rowOff>
    </xdr:to>
    <xdr:pic>
      <xdr:nvPicPr>
        <xdr:cNvPr id="629455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190500"/>
          <a:ext cx="11811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180975</xdr:rowOff>
    </xdr:from>
    <xdr:to>
      <xdr:col>0</xdr:col>
      <xdr:colOff>1276350</xdr:colOff>
      <xdr:row>2</xdr:row>
      <xdr:rowOff>114300</xdr:rowOff>
    </xdr:to>
    <xdr:pic>
      <xdr:nvPicPr>
        <xdr:cNvPr id="62955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180975"/>
          <a:ext cx="11811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171450</xdr:rowOff>
    </xdr:from>
    <xdr:to>
      <xdr:col>0</xdr:col>
      <xdr:colOff>1257300</xdr:colOff>
      <xdr:row>2</xdr:row>
      <xdr:rowOff>104775</xdr:rowOff>
    </xdr:to>
    <xdr:pic>
      <xdr:nvPicPr>
        <xdr:cNvPr id="629660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171450"/>
          <a:ext cx="11811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171450</xdr:rowOff>
    </xdr:from>
    <xdr:to>
      <xdr:col>0</xdr:col>
      <xdr:colOff>1257300</xdr:colOff>
      <xdr:row>2</xdr:row>
      <xdr:rowOff>104775</xdr:rowOff>
    </xdr:to>
    <xdr:pic>
      <xdr:nvPicPr>
        <xdr:cNvPr id="629762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171450"/>
          <a:ext cx="11715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9525</xdr:rowOff>
    </xdr:from>
    <xdr:to>
      <xdr:col>0</xdr:col>
      <xdr:colOff>1285875</xdr:colOff>
      <xdr:row>2</xdr:row>
      <xdr:rowOff>133350</xdr:rowOff>
    </xdr:to>
    <xdr:pic>
      <xdr:nvPicPr>
        <xdr:cNvPr id="627408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200025"/>
          <a:ext cx="12001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161925</xdr:rowOff>
    </xdr:from>
    <xdr:to>
      <xdr:col>0</xdr:col>
      <xdr:colOff>1257300</xdr:colOff>
      <xdr:row>2</xdr:row>
      <xdr:rowOff>95250</xdr:rowOff>
    </xdr:to>
    <xdr:pic>
      <xdr:nvPicPr>
        <xdr:cNvPr id="629865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161925"/>
          <a:ext cx="11811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133350</xdr:rowOff>
    </xdr:from>
    <xdr:to>
      <xdr:col>0</xdr:col>
      <xdr:colOff>1266825</xdr:colOff>
      <xdr:row>2</xdr:row>
      <xdr:rowOff>66675</xdr:rowOff>
    </xdr:to>
    <xdr:pic>
      <xdr:nvPicPr>
        <xdr:cNvPr id="629967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133350"/>
          <a:ext cx="11811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180975</xdr:rowOff>
    </xdr:from>
    <xdr:to>
      <xdr:col>0</xdr:col>
      <xdr:colOff>1285875</xdr:colOff>
      <xdr:row>2</xdr:row>
      <xdr:rowOff>114300</xdr:rowOff>
    </xdr:to>
    <xdr:pic>
      <xdr:nvPicPr>
        <xdr:cNvPr id="630069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80975"/>
          <a:ext cx="11811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4100S001\USERS\DEZ-95\PECAS\PUBLICA\PAT-PUB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4100s005\USERS\Processo\Balanceamento%20-%20Conferencia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B-PAT"/>
      <sheetName val="PUB_PAT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_consolidado"/>
      <sheetName val="141_441"/>
      <sheetName val="Plan12"/>
      <sheetName val="Plan13"/>
      <sheetName val="Plan14"/>
      <sheetName val="Plan15"/>
      <sheetName val="Plan16"/>
      <sheetName val="713_X_814"/>
      <sheetName val="712_X_813"/>
      <sheetName val="15240_X_45240"/>
      <sheetName val="15250_X_45250"/>
      <sheetName val="15260_X_45260"/>
    </sheetNames>
    <sheetDataSet>
      <sheetData sheetId="0">
        <row r="13">
          <cell r="C13" t="str">
            <v>00</v>
          </cell>
          <cell r="D13" t="str">
            <v>01</v>
          </cell>
          <cell r="F13" t="str">
            <v>40</v>
          </cell>
          <cell r="H13" t="str">
            <v>Total Geral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printerSettings" Target="../printerSettings/printerSettings4.bin"/><Relationship Id="rId4" Type="http://schemas.openxmlformats.org/officeDocument/2006/relationships/hyperlink" Target="mailto:investidores@bradesco.com.br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Relationship Id="rId5" Type="http://schemas.openxmlformats.org/officeDocument/2006/relationships/drawing" Target="../drawings/drawing4.xml"/><Relationship Id="rId4" Type="http://schemas.openxmlformats.org/officeDocument/2006/relationships/printerSettings" Target="../printerSettings/printerSettings1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4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.bin"/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Relationship Id="rId5" Type="http://schemas.openxmlformats.org/officeDocument/2006/relationships/drawing" Target="../drawings/drawing8.xml"/><Relationship Id="rId4" Type="http://schemas.openxmlformats.org/officeDocument/2006/relationships/printerSettings" Target="../printerSettings/printerSettings1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1.bin"/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Relationship Id="rId5" Type="http://schemas.openxmlformats.org/officeDocument/2006/relationships/drawing" Target="../drawings/drawing9.xml"/><Relationship Id="rId4" Type="http://schemas.openxmlformats.org/officeDocument/2006/relationships/printerSettings" Target="../printerSettings/printerSettings22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5.bin"/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Relationship Id="rId5" Type="http://schemas.openxmlformats.org/officeDocument/2006/relationships/drawing" Target="../drawings/drawing10.xml"/><Relationship Id="rId4" Type="http://schemas.openxmlformats.org/officeDocument/2006/relationships/printerSettings" Target="../printerSettings/printerSettings26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27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0.bin"/><Relationship Id="rId2" Type="http://schemas.openxmlformats.org/officeDocument/2006/relationships/printerSettings" Target="../printerSettings/printerSettings29.bin"/><Relationship Id="rId1" Type="http://schemas.openxmlformats.org/officeDocument/2006/relationships/printerSettings" Target="../printerSettings/printerSettings28.bin"/><Relationship Id="rId5" Type="http://schemas.openxmlformats.org/officeDocument/2006/relationships/drawing" Target="../drawings/drawing12.xml"/><Relationship Id="rId4" Type="http://schemas.openxmlformats.org/officeDocument/2006/relationships/printerSettings" Target="../printerSettings/printerSettings31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32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33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6.bin"/><Relationship Id="rId2" Type="http://schemas.openxmlformats.org/officeDocument/2006/relationships/printerSettings" Target="../printerSettings/printerSettings35.bin"/><Relationship Id="rId1" Type="http://schemas.openxmlformats.org/officeDocument/2006/relationships/printerSettings" Target="../printerSettings/printerSettings34.bin"/><Relationship Id="rId5" Type="http://schemas.openxmlformats.org/officeDocument/2006/relationships/drawing" Target="../drawings/drawing15.xml"/><Relationship Id="rId4" Type="http://schemas.openxmlformats.org/officeDocument/2006/relationships/printerSettings" Target="../printerSettings/printerSettings37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38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39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2.bin"/><Relationship Id="rId2" Type="http://schemas.openxmlformats.org/officeDocument/2006/relationships/printerSettings" Target="../printerSettings/printerSettings41.bin"/><Relationship Id="rId1" Type="http://schemas.openxmlformats.org/officeDocument/2006/relationships/printerSettings" Target="../printerSettings/printerSettings40.bin"/><Relationship Id="rId5" Type="http://schemas.openxmlformats.org/officeDocument/2006/relationships/drawing" Target="../drawings/drawing18.xml"/><Relationship Id="rId4" Type="http://schemas.openxmlformats.org/officeDocument/2006/relationships/printerSettings" Target="../printerSettings/printerSettings43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6.bin"/><Relationship Id="rId7" Type="http://schemas.openxmlformats.org/officeDocument/2006/relationships/comments" Target="../comments1.xml"/><Relationship Id="rId2" Type="http://schemas.openxmlformats.org/officeDocument/2006/relationships/printerSettings" Target="../printerSettings/printerSettings45.bin"/><Relationship Id="rId1" Type="http://schemas.openxmlformats.org/officeDocument/2006/relationships/printerSettings" Target="../printerSettings/printerSettings44.bin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9.xml"/><Relationship Id="rId4" Type="http://schemas.openxmlformats.org/officeDocument/2006/relationships/printerSettings" Target="../printerSettings/printerSettings47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0.bin"/><Relationship Id="rId2" Type="http://schemas.openxmlformats.org/officeDocument/2006/relationships/printerSettings" Target="../printerSettings/printerSettings49.bin"/><Relationship Id="rId1" Type="http://schemas.openxmlformats.org/officeDocument/2006/relationships/printerSettings" Target="../printerSettings/printerSettings48.bin"/><Relationship Id="rId5" Type="http://schemas.openxmlformats.org/officeDocument/2006/relationships/drawing" Target="../drawings/drawing20.xml"/><Relationship Id="rId4" Type="http://schemas.openxmlformats.org/officeDocument/2006/relationships/printerSettings" Target="../printerSettings/printerSettings5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5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5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6.bin"/><Relationship Id="rId2" Type="http://schemas.openxmlformats.org/officeDocument/2006/relationships/printerSettings" Target="../printerSettings/printerSettings55.bin"/><Relationship Id="rId1" Type="http://schemas.openxmlformats.org/officeDocument/2006/relationships/printerSettings" Target="../printerSettings/printerSettings54.bin"/><Relationship Id="rId5" Type="http://schemas.openxmlformats.org/officeDocument/2006/relationships/drawing" Target="../drawings/drawing23.xml"/><Relationship Id="rId4" Type="http://schemas.openxmlformats.org/officeDocument/2006/relationships/printerSettings" Target="../printerSettings/printerSettings57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0.bin"/><Relationship Id="rId2" Type="http://schemas.openxmlformats.org/officeDocument/2006/relationships/printerSettings" Target="../printerSettings/printerSettings59.bin"/><Relationship Id="rId1" Type="http://schemas.openxmlformats.org/officeDocument/2006/relationships/printerSettings" Target="../printerSettings/printerSettings58.bin"/><Relationship Id="rId5" Type="http://schemas.openxmlformats.org/officeDocument/2006/relationships/drawing" Target="../drawings/drawing24.xml"/><Relationship Id="rId4" Type="http://schemas.openxmlformats.org/officeDocument/2006/relationships/printerSettings" Target="../printerSettings/printerSettings61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4.bin"/><Relationship Id="rId2" Type="http://schemas.openxmlformats.org/officeDocument/2006/relationships/printerSettings" Target="../printerSettings/printerSettings63.bin"/><Relationship Id="rId1" Type="http://schemas.openxmlformats.org/officeDocument/2006/relationships/printerSettings" Target="../printerSettings/printerSettings62.bin"/><Relationship Id="rId5" Type="http://schemas.openxmlformats.org/officeDocument/2006/relationships/drawing" Target="../drawings/drawing25.xml"/><Relationship Id="rId4" Type="http://schemas.openxmlformats.org/officeDocument/2006/relationships/printerSettings" Target="../printerSettings/printerSettings65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8.bin"/><Relationship Id="rId2" Type="http://schemas.openxmlformats.org/officeDocument/2006/relationships/printerSettings" Target="../printerSettings/printerSettings67.bin"/><Relationship Id="rId1" Type="http://schemas.openxmlformats.org/officeDocument/2006/relationships/printerSettings" Target="../printerSettings/printerSettings66.bin"/><Relationship Id="rId5" Type="http://schemas.openxmlformats.org/officeDocument/2006/relationships/drawing" Target="../drawings/drawing26.xml"/><Relationship Id="rId4" Type="http://schemas.openxmlformats.org/officeDocument/2006/relationships/printerSettings" Target="../printerSettings/printerSettings69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70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71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4.bin"/><Relationship Id="rId2" Type="http://schemas.openxmlformats.org/officeDocument/2006/relationships/printerSettings" Target="../printerSettings/printerSettings73.bin"/><Relationship Id="rId1" Type="http://schemas.openxmlformats.org/officeDocument/2006/relationships/printerSettings" Target="../printerSettings/printerSettings72.bin"/><Relationship Id="rId5" Type="http://schemas.openxmlformats.org/officeDocument/2006/relationships/drawing" Target="../drawings/drawing29.xml"/><Relationship Id="rId4" Type="http://schemas.openxmlformats.org/officeDocument/2006/relationships/printerSettings" Target="../printerSettings/printerSettings75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8.bin"/><Relationship Id="rId2" Type="http://schemas.openxmlformats.org/officeDocument/2006/relationships/printerSettings" Target="../printerSettings/printerSettings77.bin"/><Relationship Id="rId1" Type="http://schemas.openxmlformats.org/officeDocument/2006/relationships/printerSettings" Target="../printerSettings/printerSettings76.bin"/><Relationship Id="rId5" Type="http://schemas.openxmlformats.org/officeDocument/2006/relationships/drawing" Target="../drawings/drawing30.xml"/><Relationship Id="rId4" Type="http://schemas.openxmlformats.org/officeDocument/2006/relationships/printerSettings" Target="../printerSettings/printerSettings79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2.bin"/><Relationship Id="rId2" Type="http://schemas.openxmlformats.org/officeDocument/2006/relationships/printerSettings" Target="../printerSettings/printerSettings81.bin"/><Relationship Id="rId1" Type="http://schemas.openxmlformats.org/officeDocument/2006/relationships/printerSettings" Target="../printerSettings/printerSettings80.bin"/><Relationship Id="rId5" Type="http://schemas.openxmlformats.org/officeDocument/2006/relationships/drawing" Target="../drawings/drawing31.xml"/><Relationship Id="rId4" Type="http://schemas.openxmlformats.org/officeDocument/2006/relationships/printerSettings" Target="../printerSettings/printerSettings83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6.bin"/><Relationship Id="rId2" Type="http://schemas.openxmlformats.org/officeDocument/2006/relationships/printerSettings" Target="../printerSettings/printerSettings85.bin"/><Relationship Id="rId1" Type="http://schemas.openxmlformats.org/officeDocument/2006/relationships/printerSettings" Target="../printerSettings/printerSettings84.bin"/><Relationship Id="rId5" Type="http://schemas.openxmlformats.org/officeDocument/2006/relationships/drawing" Target="../drawings/drawing32.xml"/><Relationship Id="rId4" Type="http://schemas.openxmlformats.org/officeDocument/2006/relationships/printerSettings" Target="../printerSettings/printerSettings87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0.bin"/><Relationship Id="rId2" Type="http://schemas.openxmlformats.org/officeDocument/2006/relationships/printerSettings" Target="../printerSettings/printerSettings89.bin"/><Relationship Id="rId1" Type="http://schemas.openxmlformats.org/officeDocument/2006/relationships/printerSettings" Target="../printerSettings/printerSettings88.bin"/><Relationship Id="rId5" Type="http://schemas.openxmlformats.org/officeDocument/2006/relationships/drawing" Target="../drawings/drawing33.xml"/><Relationship Id="rId4" Type="http://schemas.openxmlformats.org/officeDocument/2006/relationships/printerSettings" Target="../printerSettings/printerSettings91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4.bin"/><Relationship Id="rId2" Type="http://schemas.openxmlformats.org/officeDocument/2006/relationships/printerSettings" Target="../printerSettings/printerSettings93.bin"/><Relationship Id="rId1" Type="http://schemas.openxmlformats.org/officeDocument/2006/relationships/printerSettings" Target="../printerSettings/printerSettings92.bin"/><Relationship Id="rId5" Type="http://schemas.openxmlformats.org/officeDocument/2006/relationships/drawing" Target="../drawings/drawing34.xml"/><Relationship Id="rId4" Type="http://schemas.openxmlformats.org/officeDocument/2006/relationships/printerSettings" Target="../printerSettings/printerSettings9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8.bin"/><Relationship Id="rId2" Type="http://schemas.openxmlformats.org/officeDocument/2006/relationships/printerSettings" Target="../printerSettings/printerSettings97.bin"/><Relationship Id="rId1" Type="http://schemas.openxmlformats.org/officeDocument/2006/relationships/printerSettings" Target="../printerSettings/printerSettings96.bin"/><Relationship Id="rId5" Type="http://schemas.openxmlformats.org/officeDocument/2006/relationships/drawing" Target="../drawings/drawing35.xml"/><Relationship Id="rId4" Type="http://schemas.openxmlformats.org/officeDocument/2006/relationships/printerSettings" Target="../printerSettings/printerSettings99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2.bin"/><Relationship Id="rId2" Type="http://schemas.openxmlformats.org/officeDocument/2006/relationships/printerSettings" Target="../printerSettings/printerSettings101.bin"/><Relationship Id="rId1" Type="http://schemas.openxmlformats.org/officeDocument/2006/relationships/printerSettings" Target="../printerSettings/printerSettings100.bin"/><Relationship Id="rId5" Type="http://schemas.openxmlformats.org/officeDocument/2006/relationships/drawing" Target="../drawings/drawing36.xml"/><Relationship Id="rId4" Type="http://schemas.openxmlformats.org/officeDocument/2006/relationships/printerSettings" Target="../printerSettings/printerSettings103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6.bin"/><Relationship Id="rId2" Type="http://schemas.openxmlformats.org/officeDocument/2006/relationships/printerSettings" Target="../printerSettings/printerSettings105.bin"/><Relationship Id="rId1" Type="http://schemas.openxmlformats.org/officeDocument/2006/relationships/printerSettings" Target="../printerSettings/printerSettings104.bin"/><Relationship Id="rId5" Type="http://schemas.openxmlformats.org/officeDocument/2006/relationships/drawing" Target="../drawings/drawing37.xml"/><Relationship Id="rId4" Type="http://schemas.openxmlformats.org/officeDocument/2006/relationships/printerSettings" Target="../printerSettings/printerSettings107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0.bin"/><Relationship Id="rId2" Type="http://schemas.openxmlformats.org/officeDocument/2006/relationships/printerSettings" Target="../printerSettings/printerSettings109.bin"/><Relationship Id="rId1" Type="http://schemas.openxmlformats.org/officeDocument/2006/relationships/printerSettings" Target="../printerSettings/printerSettings108.bin"/><Relationship Id="rId5" Type="http://schemas.openxmlformats.org/officeDocument/2006/relationships/drawing" Target="../drawings/drawing38.xml"/><Relationship Id="rId4" Type="http://schemas.openxmlformats.org/officeDocument/2006/relationships/printerSettings" Target="../printerSettings/printerSettings1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/>
  <dimension ref="A1:D26"/>
  <sheetViews>
    <sheetView showGridLines="0" workbookViewId="0"/>
  </sheetViews>
  <sheetFormatPr defaultColWidth="9.140625" defaultRowHeight="18.75" x14ac:dyDescent="0.3"/>
  <cols>
    <col min="1" max="1" width="9.42578125" style="41" customWidth="1"/>
    <col min="2" max="2" width="4.5703125" style="41" customWidth="1"/>
    <col min="3" max="3" width="71.7109375" style="41" customWidth="1"/>
    <col min="4" max="4" width="5.28515625" style="41" customWidth="1"/>
    <col min="5" max="16384" width="9.140625" style="41"/>
  </cols>
  <sheetData>
    <row r="1" spans="1:4" x14ac:dyDescent="0.3">
      <c r="A1" s="41" t="s">
        <v>1</v>
      </c>
      <c r="B1" s="40"/>
    </row>
    <row r="2" spans="1:4" ht="12" customHeight="1" x14ac:dyDescent="0.3"/>
    <row r="3" spans="1:4" ht="12" customHeight="1" x14ac:dyDescent="0.3"/>
    <row r="5" spans="1:4" ht="19.5" thickBot="1" x14ac:dyDescent="0.35"/>
    <row r="6" spans="1:4" x14ac:dyDescent="0.3">
      <c r="B6" s="43"/>
      <c r="C6" s="44"/>
      <c r="D6" s="45"/>
    </row>
    <row r="7" spans="1:4" ht="61.5" customHeight="1" x14ac:dyDescent="0.3">
      <c r="B7" s="46"/>
      <c r="C7" s="47" t="s">
        <v>30</v>
      </c>
      <c r="D7" s="48"/>
    </row>
    <row r="8" spans="1:4" x14ac:dyDescent="0.3">
      <c r="B8" s="46"/>
      <c r="C8" s="49"/>
      <c r="D8" s="48"/>
    </row>
    <row r="9" spans="1:4" ht="26.25" customHeight="1" x14ac:dyDescent="0.3">
      <c r="B9" s="46"/>
      <c r="C9" s="49" t="s">
        <v>32</v>
      </c>
      <c r="D9" s="48"/>
    </row>
    <row r="10" spans="1:4" x14ac:dyDescent="0.3">
      <c r="B10" s="46"/>
      <c r="C10" s="49"/>
      <c r="D10" s="48"/>
    </row>
    <row r="11" spans="1:4" ht="23.25" customHeight="1" x14ac:dyDescent="0.3">
      <c r="B11" s="46"/>
      <c r="C11" s="49" t="s">
        <v>28</v>
      </c>
      <c r="D11" s="48"/>
    </row>
    <row r="12" spans="1:4" ht="23.25" customHeight="1" x14ac:dyDescent="0.3">
      <c r="B12" s="46"/>
      <c r="C12" s="49"/>
      <c r="D12" s="48"/>
    </row>
    <row r="13" spans="1:4" x14ac:dyDescent="0.3">
      <c r="B13" s="46"/>
      <c r="C13" s="50" t="s">
        <v>27</v>
      </c>
      <c r="D13" s="48"/>
    </row>
    <row r="14" spans="1:4" ht="19.5" thickBot="1" x14ac:dyDescent="0.35">
      <c r="B14" s="51"/>
      <c r="C14" s="52"/>
      <c r="D14" s="53"/>
    </row>
    <row r="15" spans="1:4" s="42" customFormat="1" x14ac:dyDescent="0.3"/>
    <row r="17" s="42" customFormat="1" x14ac:dyDescent="0.3"/>
    <row r="18" s="42" customFormat="1" x14ac:dyDescent="0.3"/>
    <row r="26" s="42" customFormat="1" x14ac:dyDescent="0.3"/>
  </sheetData>
  <customSheetViews>
    <customSheetView guid="{B7440494-8EA9-4463-9947-E5D20E74049D}" showGridLines="0" topLeftCell="A4">
      <selection activeCell="AO6" sqref="AO6"/>
      <pageMargins left="0.78740157480314965" right="0.78740157480314965" top="0.98425196850393704" bottom="0.98425196850393704" header="0.51181102362204722" footer="0.51181102362204722"/>
      <printOptions horizontalCentered="1" verticalCentered="1"/>
      <pageSetup paperSize="9" orientation="portrait" r:id="rId1"/>
      <headerFooter alignWithMargins="0"/>
    </customSheetView>
    <customSheetView guid="{6D89F6EF-F5AD-478F-979A-5AF1BC78EF91}" showGridLines="0">
      <pageMargins left="0.78740157480314965" right="0.78740157480314965" top="0.98425196850393704" bottom="0.98425196850393704" header="0.51181102362204722" footer="0.51181102362204722"/>
      <printOptions horizontalCentered="1" verticalCentered="1"/>
      <pageSetup paperSize="9" orientation="portrait" r:id="rId2"/>
      <headerFooter alignWithMargins="0"/>
    </customSheetView>
    <customSheetView guid="{A9134056-6B1C-4A42-AFE9-9712EF3EF3D4}" showPageBreaks="1" showGridLines="0" printArea="1" state="hidden">
      <pageMargins left="0.78740157480314965" right="0.78740157480314965" top="0.98425196850393704" bottom="0.98425196850393704" header="0.51181102362204722" footer="0.51181102362204722"/>
      <printOptions horizontalCentered="1" verticalCentered="1"/>
      <pageSetup paperSize="9" orientation="portrait" r:id="rId3"/>
      <headerFooter alignWithMargins="0"/>
    </customSheetView>
  </customSheetViews>
  <hyperlinks>
    <hyperlink ref="C13" r:id="rId4"/>
  </hyperlinks>
  <printOptions horizontalCentered="1" verticalCentered="1"/>
  <pageMargins left="0.78740157480314965" right="0.78740157480314965" top="0.98425196850393704" bottom="0.98425196850393704" header="0.51181102362204722" footer="0.51181102362204722"/>
  <pageSetup paperSize="9" orientation="portrait" r:id="rId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">
    <pageSetUpPr fitToPage="1"/>
  </sheetPr>
  <dimension ref="A1:IV59"/>
  <sheetViews>
    <sheetView showGridLines="0" tabSelected="1" zoomScale="90" zoomScaleNormal="90" workbookViewId="0">
      <selection activeCell="E9" sqref="E9"/>
    </sheetView>
  </sheetViews>
  <sheetFormatPr defaultColWidth="2.7109375" defaultRowHeight="14.25" x14ac:dyDescent="0.2"/>
  <cols>
    <col min="1" max="3" width="2.7109375" style="106" customWidth="1"/>
    <col min="4" max="4" width="5.5703125" style="106" customWidth="1"/>
    <col min="5" max="5" width="68.42578125" style="106" customWidth="1"/>
    <col min="6" max="6" width="6.5703125" style="106" customWidth="1"/>
    <col min="7" max="7" width="68" style="106" customWidth="1"/>
    <col min="8" max="10" width="5.7109375" style="106" hidden="1" customWidth="1"/>
    <col min="11" max="254" width="5.7109375" style="106" customWidth="1"/>
    <col min="255" max="16384" width="2.7109375" style="106"/>
  </cols>
  <sheetData>
    <row r="1" spans="1:256" ht="18" x14ac:dyDescent="0.2">
      <c r="B1" s="118"/>
      <c r="C1" s="118"/>
      <c r="D1" s="301"/>
      <c r="E1" s="118"/>
      <c r="F1" s="118"/>
      <c r="G1" s="118"/>
    </row>
    <row r="2" spans="1:256" ht="18" x14ac:dyDescent="0.2">
      <c r="B2" s="118"/>
      <c r="C2" s="118"/>
      <c r="D2" s="301"/>
      <c r="E2" s="118"/>
      <c r="F2" s="118"/>
      <c r="G2" s="118"/>
    </row>
    <row r="3" spans="1:256" ht="18" x14ac:dyDescent="0.2">
      <c r="B3" s="118"/>
      <c r="C3" s="118"/>
      <c r="D3" s="301"/>
      <c r="E3" s="118"/>
      <c r="F3" s="118"/>
      <c r="G3" s="118"/>
    </row>
    <row r="4" spans="1:256" ht="9" customHeight="1" x14ac:dyDescent="0.2">
      <c r="B4" s="118"/>
      <c r="C4" s="118"/>
      <c r="D4" s="301"/>
      <c r="E4" s="118"/>
      <c r="F4" s="118"/>
      <c r="G4" s="118"/>
    </row>
    <row r="5" spans="1:256" ht="31.5" customHeight="1" x14ac:dyDescent="0.2">
      <c r="B5" s="118"/>
      <c r="C5" s="118"/>
      <c r="D5" s="719" t="s">
        <v>55</v>
      </c>
      <c r="E5" s="719"/>
      <c r="F5" s="719"/>
      <c r="G5" s="719"/>
    </row>
    <row r="6" spans="1:256" ht="9" customHeight="1" x14ac:dyDescent="0.2">
      <c r="B6" s="118"/>
      <c r="C6" s="118"/>
      <c r="D6" s="301"/>
      <c r="E6" s="118"/>
      <c r="F6" s="118"/>
      <c r="G6" s="118"/>
    </row>
    <row r="7" spans="1:256" ht="27" customHeight="1" x14ac:dyDescent="0.2">
      <c r="C7" s="116"/>
      <c r="D7" s="720" t="s">
        <v>349</v>
      </c>
      <c r="E7" s="720"/>
      <c r="F7" s="720"/>
      <c r="G7" s="720"/>
    </row>
    <row r="8" spans="1:256" ht="20.25" x14ac:dyDescent="0.2">
      <c r="A8" s="302"/>
      <c r="B8" s="302"/>
      <c r="C8" s="116"/>
      <c r="D8" s="303"/>
      <c r="E8" s="485"/>
      <c r="F8" s="303"/>
      <c r="G8" s="721" t="s">
        <v>350</v>
      </c>
      <c r="H8" s="721"/>
      <c r="I8" s="721"/>
      <c r="J8" s="721"/>
      <c r="K8" s="304"/>
      <c r="N8" s="302"/>
      <c r="O8" s="302"/>
      <c r="P8" s="302"/>
      <c r="Q8" s="302"/>
      <c r="R8" s="302"/>
      <c r="S8" s="302"/>
      <c r="T8" s="302"/>
      <c r="U8" s="302"/>
      <c r="V8" s="302"/>
      <c r="W8" s="302"/>
      <c r="X8" s="302"/>
      <c r="Y8" s="302"/>
      <c r="Z8" s="302"/>
      <c r="AA8" s="302"/>
      <c r="AB8" s="302"/>
      <c r="AC8" s="302"/>
      <c r="AD8" s="302"/>
      <c r="AE8" s="302"/>
      <c r="AF8" s="302"/>
      <c r="AG8" s="302"/>
      <c r="AH8" s="302"/>
      <c r="AI8" s="302"/>
      <c r="AJ8" s="302"/>
      <c r="AK8" s="302"/>
      <c r="AL8" s="302"/>
      <c r="AM8" s="302"/>
      <c r="AN8" s="302"/>
      <c r="AO8" s="302"/>
      <c r="AP8" s="302"/>
      <c r="AQ8" s="302"/>
      <c r="AR8" s="302"/>
      <c r="AS8" s="302"/>
      <c r="AT8" s="302"/>
      <c r="AU8" s="302"/>
      <c r="AV8" s="302"/>
      <c r="AW8" s="302"/>
      <c r="AX8" s="302"/>
      <c r="AY8" s="302"/>
      <c r="AZ8" s="302"/>
      <c r="BA8" s="302"/>
      <c r="BB8" s="302"/>
      <c r="BC8" s="302"/>
      <c r="BD8" s="302"/>
      <c r="BE8" s="302"/>
      <c r="BF8" s="302"/>
      <c r="BG8" s="302"/>
      <c r="BH8" s="302"/>
      <c r="BI8" s="302"/>
      <c r="BJ8" s="302"/>
      <c r="BK8" s="302"/>
      <c r="BL8" s="302"/>
      <c r="BM8" s="302"/>
      <c r="BN8" s="302"/>
      <c r="BO8" s="302"/>
      <c r="BP8" s="302"/>
      <c r="BQ8" s="302"/>
      <c r="BR8" s="302"/>
      <c r="BS8" s="302"/>
      <c r="BT8" s="302"/>
      <c r="BU8" s="302"/>
      <c r="BV8" s="302"/>
      <c r="BW8" s="302"/>
      <c r="BX8" s="302"/>
      <c r="BY8" s="302"/>
      <c r="BZ8" s="302"/>
      <c r="CA8" s="302"/>
      <c r="CB8" s="302"/>
      <c r="CC8" s="302"/>
      <c r="CD8" s="302"/>
      <c r="CE8" s="302"/>
      <c r="CF8" s="302"/>
      <c r="CG8" s="302"/>
      <c r="CH8" s="302"/>
      <c r="CI8" s="302"/>
      <c r="CJ8" s="302"/>
      <c r="CK8" s="302"/>
      <c r="CL8" s="302"/>
      <c r="CM8" s="302"/>
      <c r="CN8" s="302"/>
      <c r="CO8" s="302"/>
      <c r="CP8" s="302"/>
      <c r="CQ8" s="302"/>
      <c r="CR8" s="302"/>
      <c r="CS8" s="302"/>
      <c r="CT8" s="302"/>
      <c r="CU8" s="302"/>
      <c r="CV8" s="302"/>
      <c r="CW8" s="302"/>
      <c r="CX8" s="302"/>
      <c r="CY8" s="302"/>
      <c r="CZ8" s="302"/>
      <c r="DA8" s="302"/>
      <c r="DB8" s="302"/>
      <c r="DC8" s="302"/>
      <c r="DD8" s="302"/>
      <c r="DE8" s="302"/>
      <c r="DF8" s="302"/>
      <c r="DG8" s="302"/>
      <c r="DH8" s="302"/>
      <c r="DI8" s="302"/>
      <c r="DJ8" s="302"/>
      <c r="DK8" s="302"/>
      <c r="DL8" s="302"/>
      <c r="DM8" s="302"/>
      <c r="DN8" s="302"/>
      <c r="DO8" s="302"/>
      <c r="DP8" s="302"/>
      <c r="DQ8" s="302"/>
      <c r="DR8" s="302"/>
      <c r="DS8" s="302"/>
      <c r="DT8" s="302"/>
      <c r="DU8" s="302"/>
      <c r="DV8" s="302"/>
      <c r="DW8" s="302"/>
      <c r="DX8" s="302"/>
      <c r="DY8" s="302"/>
      <c r="DZ8" s="302"/>
      <c r="EA8" s="302"/>
      <c r="EB8" s="302"/>
      <c r="EC8" s="302"/>
      <c r="ED8" s="302"/>
      <c r="EE8" s="302"/>
      <c r="EF8" s="302"/>
      <c r="EG8" s="302"/>
      <c r="EH8" s="302"/>
      <c r="EI8" s="302"/>
      <c r="EJ8" s="302"/>
      <c r="EK8" s="302"/>
      <c r="EL8" s="302"/>
      <c r="EM8" s="302"/>
      <c r="EN8" s="302"/>
      <c r="EO8" s="302"/>
      <c r="EP8" s="302"/>
      <c r="EQ8" s="302"/>
      <c r="ER8" s="302"/>
      <c r="ES8" s="302"/>
      <c r="ET8" s="302"/>
      <c r="EU8" s="302"/>
      <c r="EV8" s="302"/>
      <c r="EW8" s="302"/>
      <c r="EX8" s="302"/>
      <c r="EY8" s="302"/>
      <c r="EZ8" s="302"/>
      <c r="FA8" s="302"/>
      <c r="FB8" s="302"/>
      <c r="FC8" s="302"/>
      <c r="FD8" s="302"/>
      <c r="FE8" s="302"/>
      <c r="FF8" s="302"/>
      <c r="FG8" s="302"/>
      <c r="FH8" s="302"/>
      <c r="FI8" s="302"/>
      <c r="FJ8" s="302"/>
      <c r="FK8" s="302"/>
      <c r="FL8" s="302"/>
      <c r="FM8" s="302"/>
      <c r="FN8" s="302"/>
      <c r="FO8" s="302"/>
      <c r="FP8" s="302"/>
      <c r="FQ8" s="302"/>
      <c r="FR8" s="302"/>
      <c r="FS8" s="302"/>
      <c r="FT8" s="302"/>
      <c r="FU8" s="302"/>
      <c r="FV8" s="302"/>
      <c r="FW8" s="302"/>
      <c r="FX8" s="302"/>
      <c r="FY8" s="302"/>
      <c r="FZ8" s="302"/>
      <c r="GA8" s="302"/>
      <c r="GB8" s="302"/>
      <c r="GC8" s="302"/>
      <c r="GD8" s="302"/>
      <c r="GE8" s="302"/>
      <c r="GF8" s="302"/>
      <c r="GG8" s="302"/>
      <c r="GH8" s="302"/>
      <c r="GI8" s="302"/>
      <c r="GJ8" s="302"/>
      <c r="GK8" s="302"/>
      <c r="GL8" s="302"/>
      <c r="GM8" s="302"/>
      <c r="GN8" s="302"/>
      <c r="GO8" s="302"/>
      <c r="GP8" s="302"/>
      <c r="GQ8" s="302"/>
      <c r="GR8" s="302"/>
      <c r="GS8" s="302"/>
      <c r="GT8" s="302"/>
      <c r="GU8" s="302"/>
      <c r="GV8" s="302"/>
      <c r="GW8" s="302"/>
      <c r="GX8" s="302"/>
      <c r="GY8" s="302"/>
      <c r="GZ8" s="302"/>
      <c r="HA8" s="302"/>
      <c r="HB8" s="302"/>
      <c r="HC8" s="302"/>
      <c r="HD8" s="302"/>
      <c r="HE8" s="302"/>
      <c r="HF8" s="302"/>
      <c r="HG8" s="302"/>
      <c r="HH8" s="302"/>
      <c r="HI8" s="302"/>
      <c r="HJ8" s="302"/>
      <c r="HK8" s="302"/>
      <c r="HL8" s="302"/>
      <c r="HM8" s="302"/>
      <c r="HN8" s="302"/>
      <c r="HO8" s="302"/>
      <c r="HP8" s="302"/>
      <c r="HQ8" s="302"/>
      <c r="HR8" s="302"/>
      <c r="HS8" s="302"/>
      <c r="HT8" s="302"/>
      <c r="HU8" s="302"/>
      <c r="HV8" s="302"/>
      <c r="HW8" s="302"/>
      <c r="HX8" s="302"/>
      <c r="HY8" s="302"/>
      <c r="HZ8" s="302"/>
      <c r="IA8" s="302"/>
      <c r="IB8" s="302"/>
      <c r="IC8" s="302"/>
      <c r="ID8" s="302"/>
      <c r="IE8" s="302"/>
      <c r="IF8" s="302"/>
      <c r="IG8" s="302"/>
      <c r="IH8" s="302"/>
      <c r="II8" s="302"/>
      <c r="IJ8" s="302"/>
      <c r="IK8" s="302"/>
      <c r="IL8" s="302"/>
      <c r="IM8" s="302"/>
      <c r="IN8" s="302"/>
      <c r="IO8" s="302"/>
      <c r="IP8" s="302"/>
      <c r="IQ8" s="302"/>
      <c r="IR8" s="302"/>
      <c r="IS8" s="302"/>
      <c r="IT8" s="302"/>
      <c r="IU8" s="302"/>
      <c r="IV8" s="302"/>
    </row>
    <row r="9" spans="1:256" ht="15" customHeight="1" x14ac:dyDescent="0.25">
      <c r="A9" s="108"/>
      <c r="B9" s="107"/>
      <c r="C9" s="115"/>
      <c r="D9" s="509">
        <v>1</v>
      </c>
      <c r="E9" s="402" t="s">
        <v>351</v>
      </c>
      <c r="F9" s="509">
        <v>20</v>
      </c>
      <c r="G9" s="402" t="s">
        <v>653</v>
      </c>
      <c r="H9" s="402"/>
      <c r="I9" s="108"/>
      <c r="J9" s="108"/>
      <c r="K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8"/>
      <c r="AD9" s="108"/>
      <c r="AE9" s="108"/>
      <c r="AF9" s="108"/>
      <c r="AG9" s="108"/>
      <c r="AH9" s="108"/>
      <c r="AI9" s="108"/>
      <c r="AJ9" s="108"/>
      <c r="AK9" s="108"/>
      <c r="AL9" s="108"/>
      <c r="AM9" s="108"/>
      <c r="AN9" s="108"/>
      <c r="AO9" s="108"/>
      <c r="AP9" s="108"/>
      <c r="AQ9" s="108"/>
      <c r="AR9" s="108"/>
      <c r="AS9" s="108"/>
      <c r="AT9" s="108"/>
      <c r="AU9" s="108"/>
      <c r="AV9" s="108"/>
      <c r="AW9" s="108"/>
      <c r="AX9" s="108"/>
      <c r="AY9" s="108"/>
      <c r="AZ9" s="108"/>
      <c r="BA9" s="108"/>
      <c r="BB9" s="108"/>
      <c r="BC9" s="108"/>
      <c r="BD9" s="108"/>
      <c r="BE9" s="108"/>
      <c r="BF9" s="108"/>
      <c r="BG9" s="108"/>
      <c r="BH9" s="108"/>
      <c r="BI9" s="108"/>
      <c r="BJ9" s="108"/>
      <c r="BK9" s="108"/>
      <c r="BL9" s="108"/>
      <c r="BM9" s="108"/>
      <c r="BN9" s="108"/>
      <c r="BO9" s="108"/>
      <c r="BP9" s="108"/>
      <c r="BQ9" s="108"/>
      <c r="BR9" s="108"/>
      <c r="BS9" s="108"/>
      <c r="BT9" s="108"/>
      <c r="BU9" s="108"/>
      <c r="BV9" s="108"/>
      <c r="BW9" s="108"/>
      <c r="BX9" s="108"/>
      <c r="BY9" s="108"/>
      <c r="BZ9" s="108"/>
      <c r="CA9" s="108"/>
      <c r="CB9" s="108"/>
      <c r="CC9" s="108"/>
      <c r="CD9" s="108"/>
      <c r="CE9" s="108"/>
      <c r="CF9" s="108"/>
      <c r="CG9" s="108"/>
      <c r="CH9" s="108"/>
      <c r="CI9" s="108"/>
      <c r="CJ9" s="108"/>
      <c r="CK9" s="108"/>
      <c r="CL9" s="108"/>
      <c r="CM9" s="108"/>
      <c r="CN9" s="108"/>
      <c r="CO9" s="108"/>
      <c r="CP9" s="108"/>
      <c r="CQ9" s="108"/>
      <c r="CR9" s="108"/>
      <c r="CS9" s="108"/>
      <c r="CT9" s="108"/>
      <c r="CU9" s="108"/>
      <c r="CV9" s="108"/>
      <c r="CW9" s="108"/>
      <c r="CX9" s="108"/>
      <c r="CY9" s="108"/>
      <c r="CZ9" s="108"/>
      <c r="DA9" s="108"/>
      <c r="DB9" s="108"/>
      <c r="DC9" s="108"/>
      <c r="DD9" s="108"/>
      <c r="DE9" s="108"/>
      <c r="DF9" s="108"/>
      <c r="DG9" s="108"/>
      <c r="DH9" s="108"/>
      <c r="DI9" s="108"/>
      <c r="DJ9" s="108"/>
      <c r="DK9" s="108"/>
      <c r="DL9" s="108"/>
      <c r="DM9" s="108"/>
      <c r="DN9" s="108"/>
      <c r="DO9" s="108"/>
      <c r="DP9" s="108"/>
      <c r="DQ9" s="108"/>
      <c r="DR9" s="108"/>
      <c r="DS9" s="108"/>
      <c r="DT9" s="108"/>
      <c r="DU9" s="108"/>
      <c r="DV9" s="108"/>
      <c r="DW9" s="108"/>
      <c r="DX9" s="108"/>
      <c r="DY9" s="108"/>
      <c r="DZ9" s="108"/>
      <c r="EA9" s="108"/>
      <c r="EB9" s="108"/>
      <c r="EC9" s="108"/>
      <c r="ED9" s="108"/>
      <c r="EE9" s="108"/>
      <c r="EF9" s="108"/>
      <c r="EG9" s="108"/>
      <c r="EH9" s="108"/>
      <c r="EI9" s="108"/>
      <c r="EJ9" s="108"/>
      <c r="EK9" s="108"/>
      <c r="EL9" s="108"/>
      <c r="EM9" s="108"/>
      <c r="EN9" s="108"/>
      <c r="EO9" s="108"/>
      <c r="EP9" s="108"/>
      <c r="EQ9" s="108"/>
      <c r="ER9" s="108"/>
      <c r="ES9" s="108"/>
      <c r="ET9" s="108"/>
      <c r="EU9" s="108"/>
      <c r="EV9" s="108"/>
      <c r="EW9" s="108"/>
      <c r="EX9" s="108"/>
      <c r="EY9" s="108"/>
      <c r="EZ9" s="108"/>
      <c r="FA9" s="108"/>
      <c r="FB9" s="108"/>
      <c r="FC9" s="108"/>
      <c r="FD9" s="108"/>
      <c r="FE9" s="108"/>
      <c r="FF9" s="108"/>
      <c r="FG9" s="108"/>
      <c r="FH9" s="108"/>
      <c r="FI9" s="108"/>
      <c r="FJ9" s="108"/>
      <c r="FK9" s="108"/>
      <c r="FL9" s="108"/>
      <c r="FM9" s="108"/>
      <c r="FN9" s="108"/>
      <c r="FO9" s="108"/>
      <c r="FP9" s="108"/>
      <c r="FQ9" s="108"/>
      <c r="FR9" s="108"/>
      <c r="FS9" s="108"/>
      <c r="FT9" s="108"/>
      <c r="FU9" s="108"/>
      <c r="FV9" s="108"/>
      <c r="FW9" s="108"/>
      <c r="FX9" s="108"/>
      <c r="FY9" s="108"/>
      <c r="FZ9" s="108"/>
      <c r="GA9" s="108"/>
      <c r="GB9" s="108"/>
      <c r="GC9" s="108"/>
      <c r="GD9" s="108"/>
      <c r="GE9" s="108"/>
      <c r="GF9" s="108"/>
      <c r="GG9" s="108"/>
      <c r="GH9" s="108"/>
      <c r="GI9" s="108"/>
      <c r="GJ9" s="108"/>
      <c r="GK9" s="108"/>
      <c r="GL9" s="108"/>
      <c r="GM9" s="108"/>
      <c r="GN9" s="108"/>
      <c r="GO9" s="108"/>
      <c r="GP9" s="108"/>
      <c r="GQ9" s="108"/>
      <c r="GR9" s="108"/>
      <c r="GS9" s="108"/>
      <c r="GT9" s="108"/>
      <c r="GU9" s="108"/>
      <c r="GV9" s="108"/>
      <c r="GW9" s="108"/>
      <c r="GX9" s="108"/>
      <c r="GY9" s="108"/>
      <c r="GZ9" s="108"/>
      <c r="HA9" s="108"/>
      <c r="HB9" s="108"/>
      <c r="HC9" s="108"/>
      <c r="HD9" s="108"/>
      <c r="HE9" s="108"/>
      <c r="HF9" s="108"/>
      <c r="HG9" s="108"/>
      <c r="HH9" s="108"/>
      <c r="HI9" s="108"/>
      <c r="HJ9" s="108"/>
      <c r="HK9" s="108"/>
      <c r="HL9" s="108"/>
      <c r="HM9" s="108"/>
      <c r="HN9" s="108"/>
      <c r="HO9" s="108"/>
      <c r="HP9" s="108"/>
      <c r="HQ9" s="108"/>
      <c r="HR9" s="108"/>
      <c r="HS9" s="108"/>
      <c r="HT9" s="108"/>
      <c r="HU9" s="108"/>
      <c r="HV9" s="108"/>
      <c r="HW9" s="108"/>
      <c r="HX9" s="108"/>
      <c r="HY9" s="108"/>
      <c r="HZ9" s="108"/>
      <c r="IA9" s="108"/>
      <c r="IB9" s="108"/>
      <c r="IC9" s="108"/>
      <c r="ID9" s="108"/>
      <c r="IE9" s="108"/>
      <c r="IF9" s="108"/>
      <c r="IG9" s="108"/>
      <c r="IH9" s="108"/>
      <c r="II9" s="108"/>
      <c r="IJ9" s="108"/>
      <c r="IK9" s="108"/>
      <c r="IL9" s="108"/>
      <c r="IM9" s="108"/>
      <c r="IN9" s="108"/>
      <c r="IO9" s="108"/>
      <c r="IP9" s="108"/>
      <c r="IQ9" s="108"/>
      <c r="IR9" s="108"/>
      <c r="IS9" s="108"/>
      <c r="IT9" s="108"/>
      <c r="IU9" s="108"/>
      <c r="IV9" s="108"/>
    </row>
    <row r="10" spans="1:256" ht="8.1" customHeight="1" x14ac:dyDescent="0.35">
      <c r="A10" s="108"/>
      <c r="B10" s="107"/>
      <c r="C10" s="132"/>
      <c r="D10" s="509"/>
      <c r="E10" s="402"/>
      <c r="F10" s="593"/>
      <c r="G10" s="592"/>
      <c r="H10" s="463"/>
      <c r="I10" s="108"/>
      <c r="J10" s="108"/>
      <c r="K10" s="108"/>
      <c r="N10" s="108"/>
      <c r="O10" s="108"/>
      <c r="P10" s="108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/>
      <c r="AJ10" s="108"/>
      <c r="AK10" s="108"/>
      <c r="AL10" s="108"/>
      <c r="AM10" s="108"/>
      <c r="AN10" s="108"/>
      <c r="AO10" s="108"/>
      <c r="AP10" s="108"/>
      <c r="AQ10" s="108"/>
      <c r="AR10" s="108"/>
      <c r="AS10" s="108"/>
      <c r="AT10" s="108"/>
      <c r="AU10" s="108"/>
      <c r="AV10" s="108"/>
      <c r="AW10" s="108"/>
      <c r="AX10" s="108"/>
      <c r="AY10" s="108"/>
      <c r="AZ10" s="108"/>
      <c r="BA10" s="108"/>
      <c r="BB10" s="108"/>
      <c r="BC10" s="108"/>
      <c r="BD10" s="108"/>
      <c r="BE10" s="108"/>
      <c r="BF10" s="108"/>
      <c r="BG10" s="108"/>
      <c r="BH10" s="108"/>
      <c r="BI10" s="108"/>
      <c r="BJ10" s="108"/>
      <c r="BK10" s="108"/>
      <c r="BL10" s="108"/>
      <c r="BM10" s="108"/>
      <c r="BN10" s="108"/>
      <c r="BO10" s="108"/>
      <c r="BP10" s="108"/>
      <c r="BQ10" s="108"/>
      <c r="BR10" s="108"/>
      <c r="BS10" s="108"/>
      <c r="BT10" s="108"/>
      <c r="BU10" s="108"/>
      <c r="BV10" s="108"/>
      <c r="BW10" s="108"/>
      <c r="BX10" s="108"/>
      <c r="BY10" s="108"/>
      <c r="BZ10" s="108"/>
      <c r="CA10" s="108"/>
      <c r="CB10" s="108"/>
      <c r="CC10" s="108"/>
      <c r="CD10" s="108"/>
      <c r="CE10" s="108"/>
      <c r="CF10" s="108"/>
      <c r="CG10" s="108"/>
      <c r="CH10" s="108"/>
      <c r="CI10" s="108"/>
      <c r="CJ10" s="108"/>
      <c r="CK10" s="108"/>
      <c r="CL10" s="108"/>
      <c r="CM10" s="108"/>
      <c r="CN10" s="108"/>
      <c r="CO10" s="108"/>
      <c r="CP10" s="108"/>
      <c r="CQ10" s="108"/>
      <c r="CR10" s="108"/>
      <c r="CS10" s="108"/>
      <c r="CT10" s="108"/>
      <c r="CU10" s="108"/>
      <c r="CV10" s="108"/>
      <c r="CW10" s="108"/>
      <c r="CX10" s="108"/>
      <c r="CY10" s="108"/>
      <c r="CZ10" s="108"/>
      <c r="DA10" s="108"/>
      <c r="DB10" s="108"/>
      <c r="DC10" s="108"/>
      <c r="DD10" s="108"/>
      <c r="DE10" s="108"/>
      <c r="DF10" s="108"/>
      <c r="DG10" s="108"/>
      <c r="DH10" s="108"/>
      <c r="DI10" s="108"/>
      <c r="DJ10" s="108"/>
      <c r="DK10" s="108"/>
      <c r="DL10" s="108"/>
      <c r="DM10" s="108"/>
      <c r="DN10" s="108"/>
      <c r="DO10" s="108"/>
      <c r="DP10" s="108"/>
      <c r="DQ10" s="108"/>
      <c r="DR10" s="108"/>
      <c r="DS10" s="108"/>
      <c r="DT10" s="108"/>
      <c r="DU10" s="108"/>
      <c r="DV10" s="108"/>
      <c r="DW10" s="108"/>
      <c r="DX10" s="108"/>
      <c r="DY10" s="108"/>
      <c r="DZ10" s="108"/>
      <c r="EA10" s="108"/>
      <c r="EB10" s="108"/>
      <c r="EC10" s="108"/>
      <c r="ED10" s="108"/>
      <c r="EE10" s="108"/>
      <c r="EF10" s="108"/>
      <c r="EG10" s="108"/>
      <c r="EH10" s="108"/>
      <c r="EI10" s="108"/>
      <c r="EJ10" s="108"/>
      <c r="EK10" s="108"/>
      <c r="EL10" s="108"/>
      <c r="EM10" s="108"/>
      <c r="EN10" s="108"/>
      <c r="EO10" s="108"/>
      <c r="EP10" s="108"/>
      <c r="EQ10" s="108"/>
      <c r="ER10" s="108"/>
      <c r="ES10" s="108"/>
      <c r="ET10" s="108"/>
      <c r="EU10" s="108"/>
      <c r="EV10" s="108"/>
      <c r="EW10" s="108"/>
      <c r="EX10" s="108"/>
      <c r="EY10" s="108"/>
      <c r="EZ10" s="108"/>
      <c r="FA10" s="108"/>
      <c r="FB10" s="108"/>
      <c r="FC10" s="108"/>
      <c r="FD10" s="108"/>
      <c r="FE10" s="108"/>
      <c r="FF10" s="108"/>
      <c r="FG10" s="108"/>
      <c r="FH10" s="108"/>
      <c r="FI10" s="108"/>
      <c r="FJ10" s="108"/>
      <c r="FK10" s="108"/>
      <c r="FL10" s="108"/>
      <c r="FM10" s="108"/>
      <c r="FN10" s="108"/>
      <c r="FO10" s="108"/>
      <c r="FP10" s="108"/>
      <c r="FQ10" s="108"/>
      <c r="FR10" s="108"/>
      <c r="FS10" s="108"/>
      <c r="FT10" s="108"/>
      <c r="FU10" s="108"/>
      <c r="FV10" s="108"/>
      <c r="FW10" s="108"/>
      <c r="FX10" s="108"/>
      <c r="FY10" s="108"/>
      <c r="FZ10" s="108"/>
      <c r="GA10" s="108"/>
      <c r="GB10" s="108"/>
      <c r="GC10" s="108"/>
      <c r="GD10" s="108"/>
      <c r="GE10" s="108"/>
      <c r="GF10" s="108"/>
      <c r="GG10" s="108"/>
      <c r="GH10" s="108"/>
      <c r="GI10" s="108"/>
      <c r="GJ10" s="108"/>
      <c r="GK10" s="108"/>
      <c r="GL10" s="108"/>
      <c r="GM10" s="108"/>
      <c r="GN10" s="108"/>
      <c r="GO10" s="108"/>
      <c r="GP10" s="108"/>
      <c r="GQ10" s="108"/>
      <c r="GR10" s="108"/>
      <c r="GS10" s="108"/>
      <c r="GT10" s="108"/>
      <c r="GU10" s="108"/>
      <c r="GV10" s="108"/>
      <c r="GW10" s="108"/>
      <c r="GX10" s="108"/>
      <c r="GY10" s="108"/>
      <c r="GZ10" s="108"/>
      <c r="HA10" s="108"/>
      <c r="HB10" s="108"/>
      <c r="HC10" s="108"/>
      <c r="HD10" s="108"/>
      <c r="HE10" s="108"/>
      <c r="HF10" s="108"/>
      <c r="HG10" s="108"/>
      <c r="HH10" s="108"/>
      <c r="HI10" s="108"/>
      <c r="HJ10" s="108"/>
      <c r="HK10" s="108"/>
      <c r="HL10" s="108"/>
      <c r="HM10" s="108"/>
      <c r="HN10" s="108"/>
      <c r="HO10" s="108"/>
      <c r="HP10" s="108"/>
      <c r="HQ10" s="108"/>
      <c r="HR10" s="108"/>
      <c r="HS10" s="108"/>
      <c r="HT10" s="108"/>
      <c r="HU10" s="108"/>
      <c r="HV10" s="108"/>
      <c r="HW10" s="108"/>
      <c r="HX10" s="108"/>
      <c r="HY10" s="108"/>
      <c r="HZ10" s="108"/>
      <c r="IA10" s="108"/>
      <c r="IB10" s="108"/>
      <c r="IC10" s="108"/>
      <c r="ID10" s="108"/>
      <c r="IE10" s="108"/>
      <c r="IF10" s="108"/>
      <c r="IG10" s="108"/>
      <c r="IH10" s="108"/>
      <c r="II10" s="108"/>
      <c r="IJ10" s="108"/>
      <c r="IK10" s="108"/>
      <c r="IL10" s="108"/>
      <c r="IM10" s="108"/>
      <c r="IN10" s="108"/>
      <c r="IO10" s="108"/>
      <c r="IP10" s="108"/>
      <c r="IQ10" s="108"/>
      <c r="IR10" s="108"/>
      <c r="IS10" s="108"/>
      <c r="IT10" s="108"/>
      <c r="IU10" s="108"/>
      <c r="IV10" s="108"/>
    </row>
    <row r="11" spans="1:256" ht="15" customHeight="1" x14ac:dyDescent="0.25">
      <c r="A11" s="108"/>
      <c r="B11" s="107"/>
      <c r="C11" s="115"/>
      <c r="D11" s="509" t="s">
        <v>56</v>
      </c>
      <c r="E11" s="402" t="s">
        <v>352</v>
      </c>
      <c r="F11" s="509">
        <v>21</v>
      </c>
      <c r="G11" s="402" t="s">
        <v>187</v>
      </c>
      <c r="H11" s="402"/>
      <c r="I11" s="108"/>
      <c r="J11" s="108"/>
      <c r="K11" s="108"/>
      <c r="N11" s="108"/>
      <c r="O11" s="108"/>
      <c r="P11" s="108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/>
      <c r="AJ11" s="108"/>
      <c r="AK11" s="108"/>
      <c r="AL11" s="108"/>
      <c r="AM11" s="108"/>
      <c r="AN11" s="108"/>
      <c r="AO11" s="108"/>
      <c r="AP11" s="108"/>
      <c r="AQ11" s="108"/>
      <c r="AR11" s="108"/>
      <c r="AS11" s="108"/>
      <c r="AT11" s="108"/>
      <c r="AU11" s="108"/>
      <c r="AV11" s="108"/>
      <c r="AW11" s="108"/>
      <c r="AX11" s="108"/>
      <c r="AY11" s="108"/>
      <c r="AZ11" s="108"/>
      <c r="BA11" s="108"/>
      <c r="BB11" s="108"/>
      <c r="BC11" s="108"/>
      <c r="BD11" s="108"/>
      <c r="BE11" s="108"/>
      <c r="BF11" s="108"/>
      <c r="BG11" s="108"/>
      <c r="BH11" s="108"/>
      <c r="BI11" s="108"/>
      <c r="BJ11" s="108"/>
      <c r="BK11" s="108"/>
      <c r="BL11" s="108"/>
      <c r="BM11" s="108"/>
      <c r="BN11" s="108"/>
      <c r="BO11" s="108"/>
      <c r="BP11" s="108"/>
      <c r="BQ11" s="108"/>
      <c r="BR11" s="108"/>
      <c r="BS11" s="108"/>
      <c r="BT11" s="108"/>
      <c r="BU11" s="108"/>
      <c r="BV11" s="108"/>
      <c r="BW11" s="108"/>
      <c r="BX11" s="108"/>
      <c r="BY11" s="108"/>
      <c r="BZ11" s="108"/>
      <c r="CA11" s="108"/>
      <c r="CB11" s="108"/>
      <c r="CC11" s="108"/>
      <c r="CD11" s="108"/>
      <c r="CE11" s="108"/>
      <c r="CF11" s="108"/>
      <c r="CG11" s="108"/>
      <c r="CH11" s="108"/>
      <c r="CI11" s="108"/>
      <c r="CJ11" s="108"/>
      <c r="CK11" s="108"/>
      <c r="CL11" s="108"/>
      <c r="CM11" s="108"/>
      <c r="CN11" s="108"/>
      <c r="CO11" s="108"/>
      <c r="CP11" s="108"/>
      <c r="CQ11" s="108"/>
      <c r="CR11" s="108"/>
      <c r="CS11" s="108"/>
      <c r="CT11" s="108"/>
      <c r="CU11" s="108"/>
      <c r="CV11" s="108"/>
      <c r="CW11" s="108"/>
      <c r="CX11" s="108"/>
      <c r="CY11" s="108"/>
      <c r="CZ11" s="108"/>
      <c r="DA11" s="108"/>
      <c r="DB11" s="108"/>
      <c r="DC11" s="108"/>
      <c r="DD11" s="108"/>
      <c r="DE11" s="108"/>
      <c r="DF11" s="108"/>
      <c r="DG11" s="108"/>
      <c r="DH11" s="108"/>
      <c r="DI11" s="108"/>
      <c r="DJ11" s="108"/>
      <c r="DK11" s="108"/>
      <c r="DL11" s="108"/>
      <c r="DM11" s="108"/>
      <c r="DN11" s="108"/>
      <c r="DO11" s="108"/>
      <c r="DP11" s="108"/>
      <c r="DQ11" s="108"/>
      <c r="DR11" s="108"/>
      <c r="DS11" s="108"/>
      <c r="DT11" s="108"/>
      <c r="DU11" s="108"/>
      <c r="DV11" s="108"/>
      <c r="DW11" s="108"/>
      <c r="DX11" s="108"/>
      <c r="DY11" s="108"/>
      <c r="DZ11" s="108"/>
      <c r="EA11" s="108"/>
      <c r="EB11" s="108"/>
      <c r="EC11" s="108"/>
      <c r="ED11" s="108"/>
      <c r="EE11" s="108"/>
      <c r="EF11" s="108"/>
      <c r="EG11" s="108"/>
      <c r="EH11" s="108"/>
      <c r="EI11" s="108"/>
      <c r="EJ11" s="108"/>
      <c r="EK11" s="108"/>
      <c r="EL11" s="108"/>
      <c r="EM11" s="108"/>
      <c r="EN11" s="108"/>
      <c r="EO11" s="108"/>
      <c r="EP11" s="108"/>
      <c r="EQ11" s="108"/>
      <c r="ER11" s="108"/>
      <c r="ES11" s="108"/>
      <c r="ET11" s="108"/>
      <c r="EU11" s="108"/>
      <c r="EV11" s="108"/>
      <c r="EW11" s="108"/>
      <c r="EX11" s="108"/>
      <c r="EY11" s="108"/>
      <c r="EZ11" s="108"/>
      <c r="FA11" s="108"/>
      <c r="FB11" s="108"/>
      <c r="FC11" s="108"/>
      <c r="FD11" s="108"/>
      <c r="FE11" s="108"/>
      <c r="FF11" s="108"/>
      <c r="FG11" s="108"/>
      <c r="FH11" s="108"/>
      <c r="FI11" s="108"/>
      <c r="FJ11" s="108"/>
      <c r="FK11" s="108"/>
      <c r="FL11" s="108"/>
      <c r="FM11" s="108"/>
      <c r="FN11" s="108"/>
      <c r="FO11" s="108"/>
      <c r="FP11" s="108"/>
      <c r="FQ11" s="108"/>
      <c r="FR11" s="108"/>
      <c r="FS11" s="108"/>
      <c r="FT11" s="108"/>
      <c r="FU11" s="108"/>
      <c r="FV11" s="108"/>
      <c r="FW11" s="108"/>
      <c r="FX11" s="108"/>
      <c r="FY11" s="108"/>
      <c r="FZ11" s="108"/>
      <c r="GA11" s="108"/>
      <c r="GB11" s="108"/>
      <c r="GC11" s="108"/>
      <c r="GD11" s="108"/>
      <c r="GE11" s="108"/>
      <c r="GF11" s="108"/>
      <c r="GG11" s="108"/>
      <c r="GH11" s="108"/>
      <c r="GI11" s="108"/>
      <c r="GJ11" s="108"/>
      <c r="GK11" s="108"/>
      <c r="GL11" s="108"/>
      <c r="GM11" s="108"/>
      <c r="GN11" s="108"/>
      <c r="GO11" s="108"/>
      <c r="GP11" s="108"/>
      <c r="GQ11" s="108"/>
      <c r="GR11" s="108"/>
      <c r="GS11" s="108"/>
      <c r="GT11" s="108"/>
      <c r="GU11" s="108"/>
      <c r="GV11" s="108"/>
      <c r="GW11" s="108"/>
      <c r="GX11" s="108"/>
      <c r="GY11" s="108"/>
      <c r="GZ11" s="108"/>
      <c r="HA11" s="108"/>
      <c r="HB11" s="108"/>
      <c r="HC11" s="108"/>
      <c r="HD11" s="108"/>
      <c r="HE11" s="108"/>
      <c r="HF11" s="108"/>
      <c r="HG11" s="108"/>
      <c r="HH11" s="108"/>
      <c r="HI11" s="108"/>
      <c r="HJ11" s="108"/>
      <c r="HK11" s="108"/>
      <c r="HL11" s="108"/>
      <c r="HM11" s="108"/>
      <c r="HN11" s="108"/>
      <c r="HO11" s="108"/>
      <c r="HP11" s="108"/>
      <c r="HQ11" s="108"/>
      <c r="HR11" s="108"/>
      <c r="HS11" s="108"/>
      <c r="HT11" s="108"/>
      <c r="HU11" s="108"/>
      <c r="HV11" s="108"/>
      <c r="HW11" s="108"/>
      <c r="HX11" s="108"/>
      <c r="HY11" s="108"/>
      <c r="HZ11" s="108"/>
      <c r="IA11" s="108"/>
      <c r="IB11" s="108"/>
      <c r="IC11" s="108"/>
      <c r="ID11" s="108"/>
      <c r="IE11" s="108"/>
      <c r="IF11" s="108"/>
      <c r="IG11" s="108"/>
      <c r="IH11" s="108"/>
      <c r="II11" s="108"/>
      <c r="IJ11" s="108"/>
      <c r="IK11" s="108"/>
      <c r="IL11" s="108"/>
      <c r="IM11" s="108"/>
      <c r="IN11" s="108"/>
      <c r="IO11" s="108"/>
      <c r="IP11" s="108"/>
      <c r="IQ11" s="108"/>
      <c r="IR11" s="108"/>
      <c r="IS11" s="108"/>
      <c r="IT11" s="108"/>
      <c r="IU11" s="108"/>
      <c r="IV11" s="108"/>
    </row>
    <row r="12" spans="1:256" ht="8.1" customHeight="1" x14ac:dyDescent="0.35">
      <c r="A12" s="108"/>
      <c r="B12" s="107"/>
      <c r="C12" s="132"/>
      <c r="D12" s="509"/>
      <c r="E12" s="402"/>
      <c r="F12" s="593"/>
      <c r="G12" s="402"/>
      <c r="H12" s="463"/>
      <c r="I12" s="108"/>
      <c r="J12" s="108"/>
      <c r="K12" s="108"/>
      <c r="N12" s="108"/>
      <c r="O12" s="108"/>
      <c r="P12" s="108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/>
      <c r="AJ12" s="108"/>
      <c r="AK12" s="108"/>
      <c r="AL12" s="108"/>
      <c r="AM12" s="108"/>
      <c r="AN12" s="108"/>
      <c r="AO12" s="108"/>
      <c r="AP12" s="108"/>
      <c r="AQ12" s="108"/>
      <c r="AR12" s="108"/>
      <c r="AS12" s="108"/>
      <c r="AT12" s="108"/>
      <c r="AU12" s="108"/>
      <c r="AV12" s="108"/>
      <c r="AW12" s="108"/>
      <c r="AX12" s="108"/>
      <c r="AY12" s="108"/>
      <c r="AZ12" s="108"/>
      <c r="BA12" s="108"/>
      <c r="BB12" s="108"/>
      <c r="BC12" s="108"/>
      <c r="BD12" s="108"/>
      <c r="BE12" s="108"/>
      <c r="BF12" s="108"/>
      <c r="BG12" s="108"/>
      <c r="BH12" s="108"/>
      <c r="BI12" s="108"/>
      <c r="BJ12" s="108"/>
      <c r="BK12" s="108"/>
      <c r="BL12" s="108"/>
      <c r="BM12" s="108"/>
      <c r="BN12" s="108"/>
      <c r="BO12" s="108"/>
      <c r="BP12" s="108"/>
      <c r="BQ12" s="108"/>
      <c r="BR12" s="108"/>
      <c r="BS12" s="108"/>
      <c r="BT12" s="108"/>
      <c r="BU12" s="108"/>
      <c r="BV12" s="108"/>
      <c r="BW12" s="108"/>
      <c r="BX12" s="108"/>
      <c r="BY12" s="108"/>
      <c r="BZ12" s="108"/>
      <c r="CA12" s="108"/>
      <c r="CB12" s="108"/>
      <c r="CC12" s="108"/>
      <c r="CD12" s="108"/>
      <c r="CE12" s="108"/>
      <c r="CF12" s="108"/>
      <c r="CG12" s="108"/>
      <c r="CH12" s="108"/>
      <c r="CI12" s="108"/>
      <c r="CJ12" s="108"/>
      <c r="CK12" s="108"/>
      <c r="CL12" s="108"/>
      <c r="CM12" s="108"/>
      <c r="CN12" s="108"/>
      <c r="CO12" s="108"/>
      <c r="CP12" s="108"/>
      <c r="CQ12" s="108"/>
      <c r="CR12" s="108"/>
      <c r="CS12" s="108"/>
      <c r="CT12" s="108"/>
      <c r="CU12" s="108"/>
      <c r="CV12" s="108"/>
      <c r="CW12" s="108"/>
      <c r="CX12" s="108"/>
      <c r="CY12" s="108"/>
      <c r="CZ12" s="108"/>
      <c r="DA12" s="108"/>
      <c r="DB12" s="108"/>
      <c r="DC12" s="108"/>
      <c r="DD12" s="108"/>
      <c r="DE12" s="108"/>
      <c r="DF12" s="108"/>
      <c r="DG12" s="108"/>
      <c r="DH12" s="108"/>
      <c r="DI12" s="108"/>
      <c r="DJ12" s="108"/>
      <c r="DK12" s="108"/>
      <c r="DL12" s="108"/>
      <c r="DM12" s="108"/>
      <c r="DN12" s="108"/>
      <c r="DO12" s="108"/>
      <c r="DP12" s="108"/>
      <c r="DQ12" s="108"/>
      <c r="DR12" s="108"/>
      <c r="DS12" s="108"/>
      <c r="DT12" s="108"/>
      <c r="DU12" s="108"/>
      <c r="DV12" s="108"/>
      <c r="DW12" s="108"/>
      <c r="DX12" s="108"/>
      <c r="DY12" s="108"/>
      <c r="DZ12" s="108"/>
      <c r="EA12" s="108"/>
      <c r="EB12" s="108"/>
      <c r="EC12" s="108"/>
      <c r="ED12" s="108"/>
      <c r="EE12" s="108"/>
      <c r="EF12" s="108"/>
      <c r="EG12" s="108"/>
      <c r="EH12" s="108"/>
      <c r="EI12" s="108"/>
      <c r="EJ12" s="108"/>
      <c r="EK12" s="108"/>
      <c r="EL12" s="108"/>
      <c r="EM12" s="108"/>
      <c r="EN12" s="108"/>
      <c r="EO12" s="108"/>
      <c r="EP12" s="108"/>
      <c r="EQ12" s="108"/>
      <c r="ER12" s="108"/>
      <c r="ES12" s="108"/>
      <c r="ET12" s="108"/>
      <c r="EU12" s="108"/>
      <c r="EV12" s="108"/>
      <c r="EW12" s="108"/>
      <c r="EX12" s="108"/>
      <c r="EY12" s="108"/>
      <c r="EZ12" s="108"/>
      <c r="FA12" s="108"/>
      <c r="FB12" s="108"/>
      <c r="FC12" s="108"/>
      <c r="FD12" s="108"/>
      <c r="FE12" s="108"/>
      <c r="FF12" s="108"/>
      <c r="FG12" s="108"/>
      <c r="FH12" s="108"/>
      <c r="FI12" s="108"/>
      <c r="FJ12" s="108"/>
      <c r="FK12" s="108"/>
      <c r="FL12" s="108"/>
      <c r="FM12" s="108"/>
      <c r="FN12" s="108"/>
      <c r="FO12" s="108"/>
      <c r="FP12" s="108"/>
      <c r="FQ12" s="108"/>
      <c r="FR12" s="108"/>
      <c r="FS12" s="108"/>
      <c r="FT12" s="108"/>
      <c r="FU12" s="108"/>
      <c r="FV12" s="108"/>
      <c r="FW12" s="108"/>
      <c r="FX12" s="108"/>
      <c r="FY12" s="108"/>
      <c r="FZ12" s="108"/>
      <c r="GA12" s="108"/>
      <c r="GB12" s="108"/>
      <c r="GC12" s="108"/>
      <c r="GD12" s="108"/>
      <c r="GE12" s="108"/>
      <c r="GF12" s="108"/>
      <c r="GG12" s="108"/>
      <c r="GH12" s="108"/>
      <c r="GI12" s="108"/>
      <c r="GJ12" s="108"/>
      <c r="GK12" s="108"/>
      <c r="GL12" s="108"/>
      <c r="GM12" s="108"/>
      <c r="GN12" s="108"/>
      <c r="GO12" s="108"/>
      <c r="GP12" s="108"/>
      <c r="GQ12" s="108"/>
      <c r="GR12" s="108"/>
      <c r="GS12" s="108"/>
      <c r="GT12" s="108"/>
      <c r="GU12" s="108"/>
      <c r="GV12" s="108"/>
      <c r="GW12" s="108"/>
      <c r="GX12" s="108"/>
      <c r="GY12" s="108"/>
      <c r="GZ12" s="108"/>
      <c r="HA12" s="108"/>
      <c r="HB12" s="108"/>
      <c r="HC12" s="108"/>
      <c r="HD12" s="108"/>
      <c r="HE12" s="108"/>
      <c r="HF12" s="108"/>
      <c r="HG12" s="108"/>
      <c r="HH12" s="108"/>
      <c r="HI12" s="108"/>
      <c r="HJ12" s="108"/>
      <c r="HK12" s="108"/>
      <c r="HL12" s="108"/>
      <c r="HM12" s="108"/>
      <c r="HN12" s="108"/>
      <c r="HO12" s="108"/>
      <c r="HP12" s="108"/>
      <c r="HQ12" s="108"/>
      <c r="HR12" s="108"/>
      <c r="HS12" s="108"/>
      <c r="HT12" s="108"/>
      <c r="HU12" s="108"/>
      <c r="HV12" s="108"/>
      <c r="HW12" s="108"/>
      <c r="HX12" s="108"/>
      <c r="HY12" s="108"/>
      <c r="HZ12" s="108"/>
      <c r="IA12" s="108"/>
      <c r="IB12" s="108"/>
      <c r="IC12" s="108"/>
      <c r="ID12" s="108"/>
      <c r="IE12" s="108"/>
      <c r="IF12" s="108"/>
      <c r="IG12" s="108"/>
      <c r="IH12" s="108"/>
      <c r="II12" s="108"/>
      <c r="IJ12" s="108"/>
      <c r="IK12" s="108"/>
      <c r="IL12" s="108"/>
      <c r="IM12" s="108"/>
      <c r="IN12" s="108"/>
      <c r="IO12" s="108"/>
      <c r="IP12" s="108"/>
      <c r="IQ12" s="108"/>
      <c r="IR12" s="108"/>
      <c r="IS12" s="108"/>
      <c r="IT12" s="108"/>
      <c r="IU12" s="108"/>
      <c r="IV12" s="108"/>
    </row>
    <row r="13" spans="1:256" ht="15" customHeight="1" x14ac:dyDescent="0.25">
      <c r="A13" s="108"/>
      <c r="B13" s="107"/>
      <c r="C13" s="115"/>
      <c r="D13" s="509" t="s">
        <v>57</v>
      </c>
      <c r="E13" s="402" t="s">
        <v>674</v>
      </c>
      <c r="F13" s="509">
        <v>22</v>
      </c>
      <c r="G13" s="402" t="s">
        <v>188</v>
      </c>
      <c r="H13" s="108"/>
      <c r="I13" s="108"/>
      <c r="J13" s="108"/>
      <c r="K13" s="108"/>
      <c r="N13" s="108"/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108"/>
      <c r="AU13" s="108"/>
      <c r="AV13" s="108"/>
      <c r="AW13" s="108"/>
      <c r="AX13" s="108"/>
      <c r="AY13" s="108"/>
      <c r="AZ13" s="108"/>
      <c r="BA13" s="108"/>
      <c r="BB13" s="108"/>
      <c r="BC13" s="108"/>
      <c r="BD13" s="108"/>
      <c r="BE13" s="108"/>
      <c r="BF13" s="108"/>
      <c r="BG13" s="108"/>
      <c r="BH13" s="108"/>
      <c r="BI13" s="108"/>
      <c r="BJ13" s="108"/>
      <c r="BK13" s="108"/>
      <c r="BL13" s="108"/>
      <c r="BM13" s="108"/>
      <c r="BN13" s="108"/>
      <c r="BO13" s="108"/>
      <c r="BP13" s="108"/>
      <c r="BQ13" s="108"/>
      <c r="BR13" s="108"/>
      <c r="BS13" s="108"/>
      <c r="BT13" s="108"/>
      <c r="BU13" s="108"/>
      <c r="BV13" s="108"/>
      <c r="BW13" s="108"/>
      <c r="BX13" s="108"/>
      <c r="BY13" s="108"/>
      <c r="BZ13" s="108"/>
      <c r="CA13" s="108"/>
      <c r="CB13" s="108"/>
      <c r="CC13" s="108"/>
      <c r="CD13" s="108"/>
      <c r="CE13" s="108"/>
      <c r="CF13" s="108"/>
      <c r="CG13" s="108"/>
      <c r="CH13" s="108"/>
      <c r="CI13" s="108"/>
      <c r="CJ13" s="108"/>
      <c r="CK13" s="108"/>
      <c r="CL13" s="108"/>
      <c r="CM13" s="108"/>
      <c r="CN13" s="108"/>
      <c r="CO13" s="108"/>
      <c r="CP13" s="108"/>
      <c r="CQ13" s="108"/>
      <c r="CR13" s="108"/>
      <c r="CS13" s="108"/>
      <c r="CT13" s="108"/>
      <c r="CU13" s="108"/>
      <c r="CV13" s="108"/>
      <c r="CW13" s="108"/>
      <c r="CX13" s="108"/>
      <c r="CY13" s="108"/>
      <c r="CZ13" s="108"/>
      <c r="DA13" s="108"/>
      <c r="DB13" s="108"/>
      <c r="DC13" s="108"/>
      <c r="DD13" s="108"/>
      <c r="DE13" s="108"/>
      <c r="DF13" s="108"/>
      <c r="DG13" s="108"/>
      <c r="DH13" s="108"/>
      <c r="DI13" s="108"/>
      <c r="DJ13" s="108"/>
      <c r="DK13" s="108"/>
      <c r="DL13" s="108"/>
      <c r="DM13" s="108"/>
      <c r="DN13" s="108"/>
      <c r="DO13" s="108"/>
      <c r="DP13" s="108"/>
      <c r="DQ13" s="108"/>
      <c r="DR13" s="108"/>
      <c r="DS13" s="108"/>
      <c r="DT13" s="108"/>
      <c r="DU13" s="108"/>
      <c r="DV13" s="108"/>
      <c r="DW13" s="108"/>
      <c r="DX13" s="108"/>
      <c r="DY13" s="108"/>
      <c r="DZ13" s="108"/>
      <c r="EA13" s="108"/>
      <c r="EB13" s="108"/>
      <c r="EC13" s="108"/>
      <c r="ED13" s="108"/>
      <c r="EE13" s="108"/>
      <c r="EF13" s="108"/>
      <c r="EG13" s="108"/>
      <c r="EH13" s="108"/>
      <c r="EI13" s="108"/>
      <c r="EJ13" s="108"/>
      <c r="EK13" s="108"/>
      <c r="EL13" s="108"/>
      <c r="EM13" s="108"/>
      <c r="EN13" s="108"/>
      <c r="EO13" s="108"/>
      <c r="EP13" s="108"/>
      <c r="EQ13" s="108"/>
      <c r="ER13" s="108"/>
      <c r="ES13" s="108"/>
      <c r="ET13" s="108"/>
      <c r="EU13" s="108"/>
      <c r="EV13" s="108"/>
      <c r="EW13" s="108"/>
      <c r="EX13" s="108"/>
      <c r="EY13" s="108"/>
      <c r="EZ13" s="108"/>
      <c r="FA13" s="108"/>
      <c r="FB13" s="108"/>
      <c r="FC13" s="108"/>
      <c r="FD13" s="108"/>
      <c r="FE13" s="108"/>
      <c r="FF13" s="108"/>
      <c r="FG13" s="108"/>
      <c r="FH13" s="108"/>
      <c r="FI13" s="108"/>
      <c r="FJ13" s="108"/>
      <c r="FK13" s="108"/>
      <c r="FL13" s="108"/>
      <c r="FM13" s="108"/>
      <c r="FN13" s="108"/>
      <c r="FO13" s="108"/>
      <c r="FP13" s="108"/>
      <c r="FQ13" s="108"/>
      <c r="FR13" s="108"/>
      <c r="FS13" s="108"/>
      <c r="FT13" s="108"/>
      <c r="FU13" s="108"/>
      <c r="FV13" s="108"/>
      <c r="FW13" s="108"/>
      <c r="FX13" s="108"/>
      <c r="FY13" s="108"/>
      <c r="FZ13" s="108"/>
      <c r="GA13" s="108"/>
      <c r="GB13" s="108"/>
      <c r="GC13" s="108"/>
      <c r="GD13" s="108"/>
      <c r="GE13" s="108"/>
      <c r="GF13" s="108"/>
      <c r="GG13" s="108"/>
      <c r="GH13" s="108"/>
      <c r="GI13" s="108"/>
      <c r="GJ13" s="108"/>
      <c r="GK13" s="108"/>
      <c r="GL13" s="108"/>
      <c r="GM13" s="108"/>
      <c r="GN13" s="108"/>
      <c r="GO13" s="108"/>
      <c r="GP13" s="108"/>
      <c r="GQ13" s="108"/>
      <c r="GR13" s="108"/>
      <c r="GS13" s="108"/>
      <c r="GT13" s="108"/>
      <c r="GU13" s="108"/>
      <c r="GV13" s="108"/>
      <c r="GW13" s="108"/>
      <c r="GX13" s="108"/>
      <c r="GY13" s="108"/>
      <c r="GZ13" s="108"/>
      <c r="HA13" s="108"/>
      <c r="HB13" s="108"/>
      <c r="HC13" s="108"/>
      <c r="HD13" s="108"/>
      <c r="HE13" s="108"/>
      <c r="HF13" s="108"/>
      <c r="HG13" s="108"/>
      <c r="HH13" s="108"/>
      <c r="HI13" s="108"/>
      <c r="HJ13" s="108"/>
      <c r="HK13" s="108"/>
      <c r="HL13" s="108"/>
      <c r="HM13" s="108"/>
      <c r="HN13" s="108"/>
      <c r="HO13" s="108"/>
      <c r="HP13" s="108"/>
      <c r="HQ13" s="108"/>
      <c r="HR13" s="108"/>
      <c r="HS13" s="108"/>
      <c r="HT13" s="108"/>
      <c r="HU13" s="108"/>
      <c r="HV13" s="108"/>
      <c r="HW13" s="108"/>
      <c r="HX13" s="108"/>
      <c r="HY13" s="108"/>
      <c r="HZ13" s="108"/>
      <c r="IA13" s="108"/>
      <c r="IB13" s="108"/>
      <c r="IC13" s="108"/>
      <c r="ID13" s="108"/>
      <c r="IE13" s="108"/>
      <c r="IF13" s="108"/>
      <c r="IG13" s="108"/>
      <c r="IH13" s="108"/>
      <c r="II13" s="108"/>
      <c r="IJ13" s="108"/>
      <c r="IK13" s="108"/>
      <c r="IL13" s="108"/>
      <c r="IM13" s="108"/>
      <c r="IN13" s="108"/>
      <c r="IO13" s="108"/>
      <c r="IP13" s="108"/>
      <c r="IQ13" s="108"/>
      <c r="IR13" s="108"/>
      <c r="IS13" s="108"/>
      <c r="IT13" s="108"/>
      <c r="IU13" s="108"/>
      <c r="IV13" s="108"/>
    </row>
    <row r="14" spans="1:256" ht="8.1" customHeight="1" x14ac:dyDescent="0.35">
      <c r="A14" s="108"/>
      <c r="B14" s="107"/>
      <c r="C14" s="132"/>
      <c r="D14" s="509"/>
      <c r="E14" s="402"/>
      <c r="F14" s="593"/>
      <c r="G14" s="402"/>
      <c r="H14" s="108"/>
      <c r="I14" s="108"/>
      <c r="J14" s="108"/>
      <c r="K14" s="108"/>
      <c r="L14" s="108"/>
      <c r="M14" s="108"/>
      <c r="N14" s="108"/>
      <c r="O14" s="108"/>
      <c r="P14" s="108"/>
      <c r="Q14" s="108"/>
      <c r="R14" s="108"/>
      <c r="S14" s="108"/>
      <c r="T14" s="108"/>
      <c r="U14" s="108"/>
      <c r="V14" s="108"/>
      <c r="W14" s="108"/>
      <c r="X14" s="108"/>
      <c r="Y14" s="108"/>
      <c r="Z14" s="108"/>
      <c r="AA14" s="108"/>
      <c r="AB14" s="108"/>
      <c r="AC14" s="108"/>
      <c r="AD14" s="108"/>
      <c r="AE14" s="108"/>
      <c r="AF14" s="108"/>
      <c r="AG14" s="108"/>
      <c r="AH14" s="108"/>
      <c r="AI14" s="108"/>
      <c r="AJ14" s="108"/>
      <c r="AK14" s="108"/>
      <c r="AL14" s="108"/>
      <c r="AM14" s="108"/>
      <c r="AN14" s="108"/>
      <c r="AO14" s="108"/>
      <c r="AP14" s="108"/>
      <c r="AQ14" s="108"/>
      <c r="AR14" s="108"/>
      <c r="AS14" s="108"/>
      <c r="AT14" s="108"/>
      <c r="AU14" s="108"/>
      <c r="AV14" s="108"/>
      <c r="AW14" s="108"/>
      <c r="AX14" s="108"/>
      <c r="AY14" s="108"/>
      <c r="AZ14" s="108"/>
      <c r="BA14" s="108"/>
      <c r="BB14" s="108"/>
      <c r="BC14" s="108"/>
      <c r="BD14" s="108"/>
      <c r="BE14" s="108"/>
      <c r="BF14" s="108"/>
      <c r="BG14" s="108"/>
      <c r="BH14" s="108"/>
      <c r="BI14" s="108"/>
      <c r="BJ14" s="108"/>
      <c r="BK14" s="108"/>
      <c r="BL14" s="108"/>
      <c r="BM14" s="108"/>
      <c r="BN14" s="108"/>
      <c r="BO14" s="108"/>
      <c r="BP14" s="108"/>
      <c r="BQ14" s="108"/>
      <c r="BR14" s="108"/>
      <c r="BS14" s="108"/>
      <c r="BT14" s="108"/>
      <c r="BU14" s="108"/>
      <c r="BV14" s="108"/>
      <c r="BW14" s="108"/>
      <c r="BX14" s="108"/>
      <c r="BY14" s="108"/>
      <c r="BZ14" s="108"/>
      <c r="CA14" s="108"/>
      <c r="CB14" s="108"/>
      <c r="CC14" s="108"/>
      <c r="CD14" s="108"/>
      <c r="CE14" s="108"/>
      <c r="CF14" s="108"/>
      <c r="CG14" s="108"/>
      <c r="CH14" s="108"/>
      <c r="CI14" s="108"/>
      <c r="CJ14" s="108"/>
      <c r="CK14" s="108"/>
      <c r="CL14" s="108"/>
      <c r="CM14" s="108"/>
      <c r="CN14" s="108"/>
      <c r="CO14" s="108"/>
      <c r="CP14" s="108"/>
      <c r="CQ14" s="108"/>
      <c r="CR14" s="108"/>
      <c r="CS14" s="108"/>
      <c r="CT14" s="108"/>
      <c r="CU14" s="108"/>
      <c r="CV14" s="108"/>
      <c r="CW14" s="108"/>
      <c r="CX14" s="108"/>
      <c r="CY14" s="108"/>
      <c r="CZ14" s="108"/>
      <c r="DA14" s="108"/>
      <c r="DB14" s="108"/>
      <c r="DC14" s="108"/>
      <c r="DD14" s="108"/>
      <c r="DE14" s="108"/>
      <c r="DF14" s="108"/>
      <c r="DG14" s="108"/>
      <c r="DH14" s="108"/>
      <c r="DI14" s="108"/>
      <c r="DJ14" s="108"/>
      <c r="DK14" s="108"/>
      <c r="DL14" s="108"/>
      <c r="DM14" s="108"/>
      <c r="DN14" s="108"/>
      <c r="DO14" s="108"/>
      <c r="DP14" s="108"/>
      <c r="DQ14" s="108"/>
      <c r="DR14" s="108"/>
      <c r="DS14" s="108"/>
      <c r="DT14" s="108"/>
      <c r="DU14" s="108"/>
      <c r="DV14" s="108"/>
      <c r="DW14" s="108"/>
      <c r="DX14" s="108"/>
      <c r="DY14" s="108"/>
      <c r="DZ14" s="108"/>
      <c r="EA14" s="108"/>
      <c r="EB14" s="108"/>
      <c r="EC14" s="108"/>
      <c r="ED14" s="108"/>
      <c r="EE14" s="108"/>
      <c r="EF14" s="108"/>
      <c r="EG14" s="108"/>
      <c r="EH14" s="108"/>
      <c r="EI14" s="108"/>
      <c r="EJ14" s="108"/>
      <c r="EK14" s="108"/>
      <c r="EL14" s="108"/>
      <c r="EM14" s="108"/>
      <c r="EN14" s="108"/>
      <c r="EO14" s="108"/>
      <c r="EP14" s="108"/>
      <c r="EQ14" s="108"/>
      <c r="ER14" s="108"/>
      <c r="ES14" s="108"/>
      <c r="ET14" s="108"/>
      <c r="EU14" s="108"/>
      <c r="EV14" s="108"/>
      <c r="EW14" s="108"/>
      <c r="EX14" s="108"/>
      <c r="EY14" s="108"/>
      <c r="EZ14" s="108"/>
      <c r="FA14" s="108"/>
      <c r="FB14" s="108"/>
      <c r="FC14" s="108"/>
      <c r="FD14" s="108"/>
      <c r="FE14" s="108"/>
      <c r="FF14" s="108"/>
      <c r="FG14" s="108"/>
      <c r="FH14" s="108"/>
      <c r="FI14" s="108"/>
      <c r="FJ14" s="108"/>
      <c r="FK14" s="108"/>
      <c r="FL14" s="108"/>
      <c r="FM14" s="108"/>
      <c r="FN14" s="108"/>
      <c r="FO14" s="108"/>
      <c r="FP14" s="108"/>
      <c r="FQ14" s="108"/>
      <c r="FR14" s="108"/>
      <c r="FS14" s="108"/>
      <c r="FT14" s="108"/>
      <c r="FU14" s="108"/>
      <c r="FV14" s="108"/>
      <c r="FW14" s="108"/>
      <c r="FX14" s="108"/>
      <c r="FY14" s="108"/>
      <c r="FZ14" s="108"/>
      <c r="GA14" s="108"/>
      <c r="GB14" s="108"/>
      <c r="GC14" s="108"/>
      <c r="GD14" s="108"/>
      <c r="GE14" s="108"/>
      <c r="GF14" s="108"/>
      <c r="GG14" s="108"/>
      <c r="GH14" s="108"/>
      <c r="GI14" s="108"/>
      <c r="GJ14" s="108"/>
      <c r="GK14" s="108"/>
      <c r="GL14" s="108"/>
      <c r="GM14" s="108"/>
      <c r="GN14" s="108"/>
      <c r="GO14" s="108"/>
      <c r="GP14" s="108"/>
      <c r="GQ14" s="108"/>
      <c r="GR14" s="108"/>
      <c r="GS14" s="108"/>
      <c r="GT14" s="108"/>
      <c r="GU14" s="108"/>
      <c r="GV14" s="108"/>
      <c r="GW14" s="108"/>
      <c r="GX14" s="108"/>
      <c r="GY14" s="108"/>
      <c r="GZ14" s="108"/>
      <c r="HA14" s="108"/>
      <c r="HB14" s="108"/>
      <c r="HC14" s="108"/>
      <c r="HD14" s="108"/>
      <c r="HE14" s="108"/>
      <c r="HF14" s="108"/>
      <c r="HG14" s="108"/>
      <c r="HH14" s="108"/>
      <c r="HI14" s="108"/>
      <c r="HJ14" s="108"/>
      <c r="HK14" s="108"/>
      <c r="HL14" s="108"/>
      <c r="HM14" s="108"/>
      <c r="HN14" s="108"/>
      <c r="HO14" s="108"/>
      <c r="HP14" s="108"/>
      <c r="HQ14" s="108"/>
      <c r="HR14" s="108"/>
      <c r="HS14" s="108"/>
      <c r="HT14" s="108"/>
      <c r="HU14" s="108"/>
      <c r="HV14" s="108"/>
      <c r="HW14" s="108"/>
      <c r="HX14" s="108"/>
      <c r="HY14" s="108"/>
      <c r="HZ14" s="108"/>
      <c r="IA14" s="108"/>
      <c r="IB14" s="108"/>
      <c r="IC14" s="108"/>
      <c r="ID14" s="108"/>
      <c r="IE14" s="108"/>
      <c r="IF14" s="108"/>
      <c r="IG14" s="108"/>
      <c r="IH14" s="108"/>
      <c r="II14" s="108"/>
      <c r="IJ14" s="108"/>
      <c r="IK14" s="108"/>
      <c r="IL14" s="108"/>
      <c r="IM14" s="108"/>
      <c r="IN14" s="108"/>
      <c r="IO14" s="108"/>
      <c r="IP14" s="108"/>
      <c r="IQ14" s="108"/>
      <c r="IR14" s="108"/>
      <c r="IS14" s="108"/>
      <c r="IT14" s="108"/>
      <c r="IU14" s="108"/>
      <c r="IV14" s="108"/>
    </row>
    <row r="15" spans="1:256" ht="15" customHeight="1" x14ac:dyDescent="0.25">
      <c r="A15" s="108"/>
      <c r="B15" s="107"/>
      <c r="C15" s="115"/>
      <c r="D15" s="509" t="s">
        <v>58</v>
      </c>
      <c r="E15" s="402" t="s">
        <v>655</v>
      </c>
      <c r="F15" s="509">
        <v>23</v>
      </c>
      <c r="G15" s="402" t="s">
        <v>372</v>
      </c>
      <c r="H15" s="108"/>
      <c r="I15" s="108"/>
      <c r="J15" s="108"/>
      <c r="K15" s="108"/>
      <c r="L15" s="108"/>
      <c r="M15" s="108"/>
      <c r="N15" s="108"/>
      <c r="O15" s="108"/>
      <c r="P15" s="108"/>
      <c r="Q15" s="108"/>
      <c r="R15" s="108"/>
      <c r="S15" s="108"/>
      <c r="T15" s="108"/>
      <c r="U15" s="108"/>
      <c r="V15" s="108"/>
      <c r="W15" s="108"/>
      <c r="X15" s="108"/>
      <c r="Y15" s="108"/>
      <c r="Z15" s="108"/>
      <c r="AA15" s="108"/>
      <c r="AB15" s="108"/>
      <c r="AC15" s="108"/>
      <c r="AD15" s="108"/>
      <c r="AE15" s="108"/>
      <c r="AF15" s="108"/>
      <c r="AG15" s="108"/>
      <c r="AH15" s="108"/>
      <c r="AI15" s="108"/>
      <c r="AJ15" s="108"/>
      <c r="AK15" s="108"/>
      <c r="AL15" s="108"/>
      <c r="AM15" s="108"/>
      <c r="AN15" s="108"/>
      <c r="AO15" s="108"/>
      <c r="AP15" s="108"/>
      <c r="AQ15" s="108"/>
      <c r="AR15" s="108"/>
      <c r="AS15" s="108"/>
      <c r="AT15" s="108"/>
      <c r="AU15" s="108"/>
      <c r="AV15" s="108"/>
      <c r="AW15" s="108"/>
      <c r="AX15" s="108"/>
      <c r="AY15" s="108"/>
      <c r="AZ15" s="108"/>
      <c r="BA15" s="108"/>
      <c r="BB15" s="108"/>
      <c r="BC15" s="108"/>
      <c r="BD15" s="108"/>
      <c r="BE15" s="108"/>
      <c r="BF15" s="108"/>
      <c r="BG15" s="108"/>
      <c r="BH15" s="108"/>
      <c r="BI15" s="108"/>
      <c r="BJ15" s="108"/>
      <c r="BK15" s="108"/>
      <c r="BL15" s="108"/>
      <c r="BM15" s="108"/>
      <c r="BN15" s="108"/>
      <c r="BO15" s="108"/>
      <c r="BP15" s="108"/>
      <c r="BQ15" s="108"/>
      <c r="BR15" s="108"/>
      <c r="BS15" s="108"/>
      <c r="BT15" s="108"/>
      <c r="BU15" s="108"/>
      <c r="BV15" s="108"/>
      <c r="BW15" s="108"/>
      <c r="BX15" s="108"/>
      <c r="BY15" s="108"/>
      <c r="BZ15" s="108"/>
      <c r="CA15" s="108"/>
      <c r="CB15" s="108"/>
      <c r="CC15" s="108"/>
      <c r="CD15" s="108"/>
      <c r="CE15" s="108"/>
      <c r="CF15" s="108"/>
      <c r="CG15" s="108"/>
      <c r="CH15" s="108"/>
      <c r="CI15" s="108"/>
      <c r="CJ15" s="108"/>
      <c r="CK15" s="108"/>
      <c r="CL15" s="108"/>
      <c r="CM15" s="108"/>
      <c r="CN15" s="108"/>
      <c r="CO15" s="108"/>
      <c r="CP15" s="108"/>
      <c r="CQ15" s="108"/>
      <c r="CR15" s="108"/>
      <c r="CS15" s="108"/>
      <c r="CT15" s="108"/>
      <c r="CU15" s="108"/>
      <c r="CV15" s="108"/>
      <c r="CW15" s="108"/>
      <c r="CX15" s="108"/>
      <c r="CY15" s="108"/>
      <c r="CZ15" s="108"/>
      <c r="DA15" s="108"/>
      <c r="DB15" s="108"/>
      <c r="DC15" s="108"/>
      <c r="DD15" s="108"/>
      <c r="DE15" s="108"/>
      <c r="DF15" s="108"/>
      <c r="DG15" s="108"/>
      <c r="DH15" s="108"/>
      <c r="DI15" s="108"/>
      <c r="DJ15" s="108"/>
      <c r="DK15" s="108"/>
      <c r="DL15" s="108"/>
      <c r="DM15" s="108"/>
      <c r="DN15" s="108"/>
      <c r="DO15" s="108"/>
      <c r="DP15" s="108"/>
      <c r="DQ15" s="108"/>
      <c r="DR15" s="108"/>
      <c r="DS15" s="108"/>
      <c r="DT15" s="108"/>
      <c r="DU15" s="108"/>
      <c r="DV15" s="108"/>
      <c r="DW15" s="108"/>
      <c r="DX15" s="108"/>
      <c r="DY15" s="108"/>
      <c r="DZ15" s="108"/>
      <c r="EA15" s="108"/>
      <c r="EB15" s="108"/>
      <c r="EC15" s="108"/>
      <c r="ED15" s="108"/>
      <c r="EE15" s="108"/>
      <c r="EF15" s="108"/>
      <c r="EG15" s="108"/>
      <c r="EH15" s="108"/>
      <c r="EI15" s="108"/>
      <c r="EJ15" s="108"/>
      <c r="EK15" s="108"/>
      <c r="EL15" s="108"/>
      <c r="EM15" s="108"/>
      <c r="EN15" s="108"/>
      <c r="EO15" s="108"/>
      <c r="EP15" s="108"/>
      <c r="EQ15" s="108"/>
      <c r="ER15" s="108"/>
      <c r="ES15" s="108"/>
      <c r="ET15" s="108"/>
      <c r="EU15" s="108"/>
      <c r="EV15" s="108"/>
      <c r="EW15" s="108"/>
      <c r="EX15" s="108"/>
      <c r="EY15" s="108"/>
      <c r="EZ15" s="108"/>
      <c r="FA15" s="108"/>
      <c r="FB15" s="108"/>
      <c r="FC15" s="108"/>
      <c r="FD15" s="108"/>
      <c r="FE15" s="108"/>
      <c r="FF15" s="108"/>
      <c r="FG15" s="108"/>
      <c r="FH15" s="108"/>
      <c r="FI15" s="108"/>
      <c r="FJ15" s="108"/>
      <c r="FK15" s="108"/>
      <c r="FL15" s="108"/>
      <c r="FM15" s="108"/>
      <c r="FN15" s="108"/>
      <c r="FO15" s="108"/>
      <c r="FP15" s="108"/>
      <c r="FQ15" s="108"/>
      <c r="FR15" s="108"/>
      <c r="FS15" s="108"/>
      <c r="FT15" s="108"/>
      <c r="FU15" s="108"/>
      <c r="FV15" s="108"/>
      <c r="FW15" s="108"/>
      <c r="FX15" s="108"/>
      <c r="FY15" s="108"/>
      <c r="FZ15" s="108"/>
      <c r="GA15" s="108"/>
      <c r="GB15" s="108"/>
      <c r="GC15" s="108"/>
      <c r="GD15" s="108"/>
      <c r="GE15" s="108"/>
      <c r="GF15" s="108"/>
      <c r="GG15" s="108"/>
      <c r="GH15" s="108"/>
      <c r="GI15" s="108"/>
      <c r="GJ15" s="108"/>
      <c r="GK15" s="108"/>
      <c r="GL15" s="108"/>
      <c r="GM15" s="108"/>
      <c r="GN15" s="108"/>
      <c r="GO15" s="108"/>
      <c r="GP15" s="108"/>
      <c r="GQ15" s="108"/>
      <c r="GR15" s="108"/>
      <c r="GS15" s="108"/>
      <c r="GT15" s="108"/>
      <c r="GU15" s="108"/>
      <c r="GV15" s="108"/>
      <c r="GW15" s="108"/>
      <c r="GX15" s="108"/>
      <c r="GY15" s="108"/>
      <c r="GZ15" s="108"/>
      <c r="HA15" s="108"/>
      <c r="HB15" s="108"/>
      <c r="HC15" s="108"/>
      <c r="HD15" s="108"/>
      <c r="HE15" s="108"/>
      <c r="HF15" s="108"/>
      <c r="HG15" s="108"/>
      <c r="HH15" s="108"/>
      <c r="HI15" s="108"/>
      <c r="HJ15" s="108"/>
      <c r="HK15" s="108"/>
      <c r="HL15" s="108"/>
      <c r="HM15" s="108"/>
      <c r="HN15" s="108"/>
      <c r="HO15" s="108"/>
      <c r="HP15" s="108"/>
      <c r="HQ15" s="108"/>
      <c r="HR15" s="108"/>
      <c r="HS15" s="108"/>
      <c r="HT15" s="108"/>
      <c r="HU15" s="108"/>
      <c r="HV15" s="108"/>
      <c r="HW15" s="108"/>
      <c r="HX15" s="108"/>
      <c r="HY15" s="108"/>
      <c r="HZ15" s="108"/>
      <c r="IA15" s="108"/>
      <c r="IB15" s="108"/>
      <c r="IC15" s="108"/>
      <c r="ID15" s="108"/>
      <c r="IE15" s="108"/>
      <c r="IF15" s="108"/>
      <c r="IG15" s="108"/>
      <c r="IH15" s="108"/>
      <c r="II15" s="108"/>
      <c r="IJ15" s="108"/>
      <c r="IK15" s="108"/>
      <c r="IL15" s="108"/>
      <c r="IM15" s="108"/>
      <c r="IN15" s="108"/>
      <c r="IO15" s="108"/>
      <c r="IP15" s="108"/>
      <c r="IQ15" s="108"/>
      <c r="IR15" s="108"/>
      <c r="IS15" s="108"/>
      <c r="IT15" s="108"/>
      <c r="IU15" s="108"/>
      <c r="IV15" s="108"/>
    </row>
    <row r="16" spans="1:256" ht="8.1" customHeight="1" x14ac:dyDescent="0.35">
      <c r="A16" s="108"/>
      <c r="B16" s="107"/>
      <c r="C16" s="132"/>
      <c r="D16" s="509"/>
      <c r="E16" s="402"/>
      <c r="F16" s="593"/>
      <c r="G16" s="402"/>
      <c r="H16" s="108"/>
      <c r="I16" s="108"/>
      <c r="J16" s="108"/>
      <c r="K16" s="108"/>
      <c r="L16" s="108"/>
      <c r="M16" s="108"/>
      <c r="N16" s="108"/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108"/>
      <c r="AU16" s="108"/>
      <c r="AV16" s="108"/>
      <c r="AW16" s="108"/>
      <c r="AX16" s="108"/>
      <c r="AY16" s="108"/>
      <c r="AZ16" s="108"/>
      <c r="BA16" s="108"/>
      <c r="BB16" s="108"/>
      <c r="BC16" s="108"/>
      <c r="BD16" s="108"/>
      <c r="BE16" s="108"/>
      <c r="BF16" s="108"/>
      <c r="BG16" s="108"/>
      <c r="BH16" s="108"/>
      <c r="BI16" s="108"/>
      <c r="BJ16" s="108"/>
      <c r="BK16" s="108"/>
      <c r="BL16" s="108"/>
      <c r="BM16" s="108"/>
      <c r="BN16" s="108"/>
      <c r="BO16" s="108"/>
      <c r="BP16" s="108"/>
      <c r="BQ16" s="108"/>
      <c r="BR16" s="108"/>
      <c r="BS16" s="108"/>
      <c r="BT16" s="108"/>
      <c r="BU16" s="108"/>
      <c r="BV16" s="108"/>
      <c r="BW16" s="108"/>
      <c r="BX16" s="108"/>
      <c r="BY16" s="108"/>
      <c r="BZ16" s="108"/>
      <c r="CA16" s="108"/>
      <c r="CB16" s="108"/>
      <c r="CC16" s="108"/>
      <c r="CD16" s="108"/>
      <c r="CE16" s="108"/>
      <c r="CF16" s="108"/>
      <c r="CG16" s="108"/>
      <c r="CH16" s="108"/>
      <c r="CI16" s="108"/>
      <c r="CJ16" s="108"/>
      <c r="CK16" s="108"/>
      <c r="CL16" s="108"/>
      <c r="CM16" s="108"/>
      <c r="CN16" s="108"/>
      <c r="CO16" s="108"/>
      <c r="CP16" s="108"/>
      <c r="CQ16" s="108"/>
      <c r="CR16" s="108"/>
      <c r="CS16" s="108"/>
      <c r="CT16" s="108"/>
      <c r="CU16" s="108"/>
      <c r="CV16" s="108"/>
      <c r="CW16" s="108"/>
      <c r="CX16" s="108"/>
      <c r="CY16" s="108"/>
      <c r="CZ16" s="108"/>
      <c r="DA16" s="108"/>
      <c r="DB16" s="108"/>
      <c r="DC16" s="108"/>
      <c r="DD16" s="108"/>
      <c r="DE16" s="108"/>
      <c r="DF16" s="108"/>
      <c r="DG16" s="108"/>
      <c r="DH16" s="108"/>
      <c r="DI16" s="108"/>
      <c r="DJ16" s="108"/>
      <c r="DK16" s="108"/>
      <c r="DL16" s="108"/>
      <c r="DM16" s="108"/>
      <c r="DN16" s="108"/>
      <c r="DO16" s="108"/>
      <c r="DP16" s="108"/>
      <c r="DQ16" s="108"/>
      <c r="DR16" s="108"/>
      <c r="DS16" s="108"/>
      <c r="DT16" s="108"/>
      <c r="DU16" s="108"/>
      <c r="DV16" s="108"/>
      <c r="DW16" s="108"/>
      <c r="DX16" s="108"/>
      <c r="DY16" s="108"/>
      <c r="DZ16" s="108"/>
      <c r="EA16" s="108"/>
      <c r="EB16" s="108"/>
      <c r="EC16" s="108"/>
      <c r="ED16" s="108"/>
      <c r="EE16" s="108"/>
      <c r="EF16" s="108"/>
      <c r="EG16" s="108"/>
      <c r="EH16" s="108"/>
      <c r="EI16" s="108"/>
      <c r="EJ16" s="108"/>
      <c r="EK16" s="108"/>
      <c r="EL16" s="108"/>
      <c r="EM16" s="108"/>
      <c r="EN16" s="108"/>
      <c r="EO16" s="108"/>
      <c r="EP16" s="108"/>
      <c r="EQ16" s="108"/>
      <c r="ER16" s="108"/>
      <c r="ES16" s="108"/>
      <c r="ET16" s="108"/>
      <c r="EU16" s="108"/>
      <c r="EV16" s="108"/>
      <c r="EW16" s="108"/>
      <c r="EX16" s="108"/>
      <c r="EY16" s="108"/>
      <c r="EZ16" s="108"/>
      <c r="FA16" s="108"/>
      <c r="FB16" s="108"/>
      <c r="FC16" s="108"/>
      <c r="FD16" s="108"/>
      <c r="FE16" s="108"/>
      <c r="FF16" s="108"/>
      <c r="FG16" s="108"/>
      <c r="FH16" s="108"/>
      <c r="FI16" s="108"/>
      <c r="FJ16" s="108"/>
      <c r="FK16" s="108"/>
      <c r="FL16" s="108"/>
      <c r="FM16" s="108"/>
      <c r="FN16" s="108"/>
      <c r="FO16" s="108"/>
      <c r="FP16" s="108"/>
      <c r="FQ16" s="108"/>
      <c r="FR16" s="108"/>
      <c r="FS16" s="108"/>
      <c r="FT16" s="108"/>
      <c r="FU16" s="108"/>
      <c r="FV16" s="108"/>
      <c r="FW16" s="108"/>
      <c r="FX16" s="108"/>
      <c r="FY16" s="108"/>
      <c r="FZ16" s="108"/>
      <c r="GA16" s="108"/>
      <c r="GB16" s="108"/>
      <c r="GC16" s="108"/>
      <c r="GD16" s="108"/>
      <c r="GE16" s="108"/>
      <c r="GF16" s="108"/>
      <c r="GG16" s="108"/>
      <c r="GH16" s="108"/>
      <c r="GI16" s="108"/>
      <c r="GJ16" s="108"/>
      <c r="GK16" s="108"/>
      <c r="GL16" s="108"/>
      <c r="GM16" s="108"/>
      <c r="GN16" s="108"/>
      <c r="GO16" s="108"/>
      <c r="GP16" s="108"/>
      <c r="GQ16" s="108"/>
      <c r="GR16" s="108"/>
      <c r="GS16" s="108"/>
      <c r="GT16" s="108"/>
      <c r="GU16" s="108"/>
      <c r="GV16" s="108"/>
      <c r="GW16" s="108"/>
      <c r="GX16" s="108"/>
      <c r="GY16" s="108"/>
      <c r="GZ16" s="108"/>
      <c r="HA16" s="108"/>
      <c r="HB16" s="108"/>
      <c r="HC16" s="108"/>
      <c r="HD16" s="108"/>
      <c r="HE16" s="108"/>
      <c r="HF16" s="108"/>
      <c r="HG16" s="108"/>
      <c r="HH16" s="108"/>
      <c r="HI16" s="108"/>
      <c r="HJ16" s="108"/>
      <c r="HK16" s="108"/>
      <c r="HL16" s="108"/>
      <c r="HM16" s="108"/>
      <c r="HN16" s="108"/>
      <c r="HO16" s="108"/>
      <c r="HP16" s="108"/>
      <c r="HQ16" s="108"/>
      <c r="HR16" s="108"/>
      <c r="HS16" s="108"/>
      <c r="HT16" s="108"/>
      <c r="HU16" s="108"/>
      <c r="HV16" s="108"/>
      <c r="HW16" s="108"/>
      <c r="HX16" s="108"/>
      <c r="HY16" s="108"/>
      <c r="HZ16" s="108"/>
      <c r="IA16" s="108"/>
      <c r="IB16" s="108"/>
      <c r="IC16" s="108"/>
      <c r="ID16" s="108"/>
      <c r="IE16" s="108"/>
      <c r="IF16" s="108"/>
      <c r="IG16" s="108"/>
      <c r="IH16" s="108"/>
      <c r="II16" s="108"/>
      <c r="IJ16" s="108"/>
      <c r="IK16" s="108"/>
      <c r="IL16" s="108"/>
      <c r="IM16" s="108"/>
      <c r="IN16" s="108"/>
      <c r="IO16" s="108"/>
      <c r="IP16" s="108"/>
      <c r="IQ16" s="108"/>
      <c r="IR16" s="108"/>
      <c r="IS16" s="108"/>
      <c r="IT16" s="108"/>
      <c r="IU16" s="108"/>
      <c r="IV16" s="108"/>
    </row>
    <row r="17" spans="1:256" ht="15" customHeight="1" x14ac:dyDescent="0.25">
      <c r="A17" s="108"/>
      <c r="B17" s="107"/>
      <c r="C17" s="115"/>
      <c r="D17" s="509" t="s">
        <v>59</v>
      </c>
      <c r="E17" s="402" t="s">
        <v>656</v>
      </c>
      <c r="F17" s="509">
        <v>24</v>
      </c>
      <c r="G17" s="402" t="s">
        <v>189</v>
      </c>
      <c r="H17" s="108"/>
      <c r="I17" s="108"/>
      <c r="J17" s="108"/>
      <c r="K17" s="108"/>
      <c r="L17" s="108"/>
      <c r="M17" s="108"/>
      <c r="N17" s="108"/>
      <c r="O17" s="108"/>
      <c r="P17" s="108"/>
      <c r="Q17" s="108"/>
      <c r="R17" s="108"/>
      <c r="S17" s="108"/>
      <c r="T17" s="108"/>
      <c r="U17" s="108"/>
      <c r="V17" s="108"/>
      <c r="W17" s="108"/>
      <c r="X17" s="108"/>
      <c r="Y17" s="108"/>
      <c r="Z17" s="108"/>
      <c r="AA17" s="108"/>
      <c r="AB17" s="108"/>
      <c r="AC17" s="108"/>
      <c r="AD17" s="108"/>
      <c r="AE17" s="108"/>
      <c r="AF17" s="108"/>
      <c r="AG17" s="108"/>
      <c r="AH17" s="108"/>
      <c r="AI17" s="108"/>
      <c r="AJ17" s="108"/>
      <c r="AK17" s="108"/>
      <c r="AL17" s="108"/>
      <c r="AM17" s="108"/>
      <c r="AN17" s="108"/>
      <c r="AO17" s="108"/>
      <c r="AP17" s="108"/>
      <c r="AQ17" s="108"/>
      <c r="AR17" s="108"/>
      <c r="AS17" s="108"/>
      <c r="AT17" s="108"/>
      <c r="AU17" s="108"/>
      <c r="AV17" s="108"/>
      <c r="AW17" s="108"/>
      <c r="AX17" s="108"/>
      <c r="AY17" s="108"/>
      <c r="AZ17" s="108"/>
      <c r="BA17" s="108"/>
      <c r="BB17" s="108"/>
      <c r="BC17" s="108"/>
      <c r="BD17" s="108"/>
      <c r="BE17" s="108"/>
      <c r="BF17" s="108"/>
      <c r="BG17" s="108"/>
      <c r="BH17" s="108"/>
      <c r="BI17" s="108"/>
      <c r="BJ17" s="108"/>
      <c r="BK17" s="108"/>
      <c r="BL17" s="108"/>
      <c r="BM17" s="108"/>
      <c r="BN17" s="108"/>
      <c r="BO17" s="108"/>
      <c r="BP17" s="108"/>
      <c r="BQ17" s="108"/>
      <c r="BR17" s="108"/>
      <c r="BS17" s="108"/>
      <c r="BT17" s="108"/>
      <c r="BU17" s="108"/>
      <c r="BV17" s="108"/>
      <c r="BW17" s="108"/>
      <c r="BX17" s="108"/>
      <c r="BY17" s="108"/>
      <c r="BZ17" s="108"/>
      <c r="CA17" s="108"/>
      <c r="CB17" s="108"/>
      <c r="CC17" s="108"/>
      <c r="CD17" s="108"/>
      <c r="CE17" s="108"/>
      <c r="CF17" s="108"/>
      <c r="CG17" s="108"/>
      <c r="CH17" s="108"/>
      <c r="CI17" s="108"/>
      <c r="CJ17" s="108"/>
      <c r="CK17" s="108"/>
      <c r="CL17" s="108"/>
      <c r="CM17" s="108"/>
      <c r="CN17" s="108"/>
      <c r="CO17" s="108"/>
      <c r="CP17" s="108"/>
      <c r="CQ17" s="108"/>
      <c r="CR17" s="108"/>
      <c r="CS17" s="108"/>
      <c r="CT17" s="108"/>
      <c r="CU17" s="108"/>
      <c r="CV17" s="108"/>
      <c r="CW17" s="108"/>
      <c r="CX17" s="108"/>
      <c r="CY17" s="108"/>
      <c r="CZ17" s="108"/>
      <c r="DA17" s="108"/>
      <c r="DB17" s="108"/>
      <c r="DC17" s="108"/>
      <c r="DD17" s="108"/>
      <c r="DE17" s="108"/>
      <c r="DF17" s="108"/>
      <c r="DG17" s="108"/>
      <c r="DH17" s="108"/>
      <c r="DI17" s="108"/>
      <c r="DJ17" s="108"/>
      <c r="DK17" s="108"/>
      <c r="DL17" s="108"/>
      <c r="DM17" s="108"/>
      <c r="DN17" s="108"/>
      <c r="DO17" s="108"/>
      <c r="DP17" s="108"/>
      <c r="DQ17" s="108"/>
      <c r="DR17" s="108"/>
      <c r="DS17" s="108"/>
      <c r="DT17" s="108"/>
      <c r="DU17" s="108"/>
      <c r="DV17" s="108"/>
      <c r="DW17" s="108"/>
      <c r="DX17" s="108"/>
      <c r="DY17" s="108"/>
      <c r="DZ17" s="108"/>
      <c r="EA17" s="108"/>
      <c r="EB17" s="108"/>
      <c r="EC17" s="108"/>
      <c r="ED17" s="108"/>
      <c r="EE17" s="108"/>
      <c r="EF17" s="108"/>
      <c r="EG17" s="108"/>
      <c r="EH17" s="108"/>
      <c r="EI17" s="108"/>
      <c r="EJ17" s="108"/>
      <c r="EK17" s="108"/>
      <c r="EL17" s="108"/>
      <c r="EM17" s="108"/>
      <c r="EN17" s="108"/>
      <c r="EO17" s="108"/>
      <c r="EP17" s="108"/>
      <c r="EQ17" s="108"/>
      <c r="ER17" s="108"/>
      <c r="ES17" s="108"/>
      <c r="ET17" s="108"/>
      <c r="EU17" s="108"/>
      <c r="EV17" s="108"/>
      <c r="EW17" s="108"/>
      <c r="EX17" s="108"/>
      <c r="EY17" s="108"/>
      <c r="EZ17" s="108"/>
      <c r="FA17" s="108"/>
      <c r="FB17" s="108"/>
      <c r="FC17" s="108"/>
      <c r="FD17" s="108"/>
      <c r="FE17" s="108"/>
      <c r="FF17" s="108"/>
      <c r="FG17" s="108"/>
      <c r="FH17" s="108"/>
      <c r="FI17" s="108"/>
      <c r="FJ17" s="108"/>
      <c r="FK17" s="108"/>
      <c r="FL17" s="108"/>
      <c r="FM17" s="108"/>
      <c r="FN17" s="108"/>
      <c r="FO17" s="108"/>
      <c r="FP17" s="108"/>
      <c r="FQ17" s="108"/>
      <c r="FR17" s="108"/>
      <c r="FS17" s="108"/>
      <c r="FT17" s="108"/>
      <c r="FU17" s="108"/>
      <c r="FV17" s="108"/>
      <c r="FW17" s="108"/>
      <c r="FX17" s="108"/>
      <c r="FY17" s="108"/>
      <c r="FZ17" s="108"/>
      <c r="GA17" s="108"/>
      <c r="GB17" s="108"/>
      <c r="GC17" s="108"/>
      <c r="GD17" s="108"/>
      <c r="GE17" s="108"/>
      <c r="GF17" s="108"/>
      <c r="GG17" s="108"/>
      <c r="GH17" s="108"/>
      <c r="GI17" s="108"/>
      <c r="GJ17" s="108"/>
      <c r="GK17" s="108"/>
      <c r="GL17" s="108"/>
      <c r="GM17" s="108"/>
      <c r="GN17" s="108"/>
      <c r="GO17" s="108"/>
      <c r="GP17" s="108"/>
      <c r="GQ17" s="108"/>
      <c r="GR17" s="108"/>
      <c r="GS17" s="108"/>
      <c r="GT17" s="108"/>
      <c r="GU17" s="108"/>
      <c r="GV17" s="108"/>
      <c r="GW17" s="108"/>
      <c r="GX17" s="108"/>
      <c r="GY17" s="108"/>
      <c r="GZ17" s="108"/>
      <c r="HA17" s="108"/>
      <c r="HB17" s="108"/>
      <c r="HC17" s="108"/>
      <c r="HD17" s="108"/>
      <c r="HE17" s="108"/>
      <c r="HF17" s="108"/>
      <c r="HG17" s="108"/>
      <c r="HH17" s="108"/>
      <c r="HI17" s="108"/>
      <c r="HJ17" s="108"/>
      <c r="HK17" s="108"/>
      <c r="HL17" s="108"/>
      <c r="HM17" s="108"/>
      <c r="HN17" s="108"/>
      <c r="HO17" s="108"/>
      <c r="HP17" s="108"/>
      <c r="HQ17" s="108"/>
      <c r="HR17" s="108"/>
      <c r="HS17" s="108"/>
      <c r="HT17" s="108"/>
      <c r="HU17" s="108"/>
      <c r="HV17" s="108"/>
      <c r="HW17" s="108"/>
      <c r="HX17" s="108"/>
      <c r="HY17" s="108"/>
      <c r="HZ17" s="108"/>
      <c r="IA17" s="108"/>
      <c r="IB17" s="108"/>
      <c r="IC17" s="108"/>
      <c r="ID17" s="108"/>
      <c r="IE17" s="108"/>
      <c r="IF17" s="108"/>
      <c r="IG17" s="108"/>
      <c r="IH17" s="108"/>
      <c r="II17" s="108"/>
      <c r="IJ17" s="108"/>
      <c r="IK17" s="108"/>
      <c r="IL17" s="108"/>
      <c r="IM17" s="108"/>
      <c r="IN17" s="108"/>
      <c r="IO17" s="108"/>
      <c r="IP17" s="108"/>
      <c r="IQ17" s="108"/>
      <c r="IR17" s="108"/>
      <c r="IS17" s="108"/>
      <c r="IT17" s="108"/>
      <c r="IU17" s="108"/>
      <c r="IV17" s="108"/>
    </row>
    <row r="18" spans="1:256" ht="8.1" customHeight="1" x14ac:dyDescent="0.35">
      <c r="A18" s="108"/>
      <c r="B18" s="107"/>
      <c r="C18" s="132"/>
      <c r="D18" s="509"/>
      <c r="E18" s="402"/>
      <c r="F18" s="593"/>
      <c r="G18" s="402"/>
      <c r="H18" s="108"/>
      <c r="I18" s="108"/>
      <c r="J18" s="108"/>
      <c r="K18" s="108"/>
      <c r="L18" s="108"/>
      <c r="M18" s="108"/>
      <c r="N18" s="108"/>
      <c r="O18" s="108"/>
      <c r="P18" s="108"/>
      <c r="Q18" s="108"/>
      <c r="R18" s="108"/>
      <c r="S18" s="108"/>
      <c r="T18" s="108"/>
      <c r="U18" s="108"/>
      <c r="V18" s="108"/>
      <c r="W18" s="108"/>
      <c r="X18" s="108"/>
      <c r="Y18" s="108"/>
      <c r="Z18" s="108"/>
      <c r="AA18" s="108"/>
      <c r="AB18" s="108"/>
      <c r="AC18" s="108"/>
      <c r="AD18" s="108"/>
      <c r="AE18" s="108"/>
      <c r="AF18" s="108"/>
      <c r="AG18" s="108"/>
      <c r="AH18" s="108"/>
      <c r="AI18" s="108"/>
      <c r="AJ18" s="108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08"/>
      <c r="BB18" s="108"/>
      <c r="BC18" s="108"/>
      <c r="BD18" s="108"/>
      <c r="BE18" s="108"/>
      <c r="BF18" s="108"/>
      <c r="BG18" s="108"/>
      <c r="BH18" s="108"/>
      <c r="BI18" s="108"/>
      <c r="BJ18" s="108"/>
      <c r="BK18" s="108"/>
      <c r="BL18" s="108"/>
      <c r="BM18" s="108"/>
      <c r="BN18" s="108"/>
      <c r="BO18" s="108"/>
      <c r="BP18" s="108"/>
      <c r="BQ18" s="108"/>
      <c r="BR18" s="108"/>
      <c r="BS18" s="108"/>
      <c r="BT18" s="108"/>
      <c r="BU18" s="108"/>
      <c r="BV18" s="108"/>
      <c r="BW18" s="108"/>
      <c r="BX18" s="108"/>
      <c r="BY18" s="108"/>
      <c r="BZ18" s="108"/>
      <c r="CA18" s="108"/>
      <c r="CB18" s="108"/>
      <c r="CC18" s="108"/>
      <c r="CD18" s="108"/>
      <c r="CE18" s="108"/>
      <c r="CF18" s="108"/>
      <c r="CG18" s="108"/>
      <c r="CH18" s="108"/>
      <c r="CI18" s="108"/>
      <c r="CJ18" s="108"/>
      <c r="CK18" s="108"/>
      <c r="CL18" s="108"/>
      <c r="CM18" s="108"/>
      <c r="CN18" s="108"/>
      <c r="CO18" s="108"/>
      <c r="CP18" s="108"/>
      <c r="CQ18" s="108"/>
      <c r="CR18" s="108"/>
      <c r="CS18" s="108"/>
      <c r="CT18" s="108"/>
      <c r="CU18" s="108"/>
      <c r="CV18" s="108"/>
      <c r="CW18" s="108"/>
      <c r="CX18" s="108"/>
      <c r="CY18" s="108"/>
      <c r="CZ18" s="108"/>
      <c r="DA18" s="108"/>
      <c r="DB18" s="108"/>
      <c r="DC18" s="108"/>
      <c r="DD18" s="108"/>
      <c r="DE18" s="108"/>
      <c r="DF18" s="108"/>
      <c r="DG18" s="108"/>
      <c r="DH18" s="108"/>
      <c r="DI18" s="108"/>
      <c r="DJ18" s="108"/>
      <c r="DK18" s="108"/>
      <c r="DL18" s="108"/>
      <c r="DM18" s="108"/>
      <c r="DN18" s="108"/>
      <c r="DO18" s="108"/>
      <c r="DP18" s="108"/>
      <c r="DQ18" s="108"/>
      <c r="DR18" s="108"/>
      <c r="DS18" s="108"/>
      <c r="DT18" s="108"/>
      <c r="DU18" s="108"/>
      <c r="DV18" s="108"/>
      <c r="DW18" s="108"/>
      <c r="DX18" s="108"/>
      <c r="DY18" s="108"/>
      <c r="DZ18" s="108"/>
      <c r="EA18" s="108"/>
      <c r="EB18" s="108"/>
      <c r="EC18" s="108"/>
      <c r="ED18" s="108"/>
      <c r="EE18" s="108"/>
      <c r="EF18" s="108"/>
      <c r="EG18" s="108"/>
      <c r="EH18" s="108"/>
      <c r="EI18" s="108"/>
      <c r="EJ18" s="108"/>
      <c r="EK18" s="108"/>
      <c r="EL18" s="108"/>
      <c r="EM18" s="108"/>
      <c r="EN18" s="108"/>
      <c r="EO18" s="108"/>
      <c r="EP18" s="108"/>
      <c r="EQ18" s="108"/>
      <c r="ER18" s="108"/>
      <c r="ES18" s="108"/>
      <c r="ET18" s="108"/>
      <c r="EU18" s="108"/>
      <c r="EV18" s="108"/>
      <c r="EW18" s="108"/>
      <c r="EX18" s="108"/>
      <c r="EY18" s="108"/>
      <c r="EZ18" s="108"/>
      <c r="FA18" s="108"/>
      <c r="FB18" s="108"/>
      <c r="FC18" s="108"/>
      <c r="FD18" s="108"/>
      <c r="FE18" s="108"/>
      <c r="FF18" s="108"/>
      <c r="FG18" s="108"/>
      <c r="FH18" s="108"/>
      <c r="FI18" s="108"/>
      <c r="FJ18" s="108"/>
      <c r="FK18" s="108"/>
      <c r="FL18" s="108"/>
      <c r="FM18" s="108"/>
      <c r="FN18" s="108"/>
      <c r="FO18" s="108"/>
      <c r="FP18" s="108"/>
      <c r="FQ18" s="108"/>
      <c r="FR18" s="108"/>
      <c r="FS18" s="108"/>
      <c r="FT18" s="108"/>
      <c r="FU18" s="108"/>
      <c r="FV18" s="108"/>
      <c r="FW18" s="108"/>
      <c r="FX18" s="108"/>
      <c r="FY18" s="108"/>
      <c r="FZ18" s="108"/>
      <c r="GA18" s="108"/>
      <c r="GB18" s="108"/>
      <c r="GC18" s="108"/>
      <c r="GD18" s="108"/>
      <c r="GE18" s="108"/>
      <c r="GF18" s="108"/>
      <c r="GG18" s="108"/>
      <c r="GH18" s="108"/>
      <c r="GI18" s="108"/>
      <c r="GJ18" s="108"/>
      <c r="GK18" s="108"/>
      <c r="GL18" s="108"/>
      <c r="GM18" s="108"/>
      <c r="GN18" s="108"/>
      <c r="GO18" s="108"/>
      <c r="GP18" s="108"/>
      <c r="GQ18" s="108"/>
      <c r="GR18" s="108"/>
      <c r="GS18" s="108"/>
      <c r="GT18" s="108"/>
      <c r="GU18" s="108"/>
      <c r="GV18" s="108"/>
      <c r="GW18" s="108"/>
      <c r="GX18" s="108"/>
      <c r="GY18" s="108"/>
      <c r="GZ18" s="108"/>
      <c r="HA18" s="108"/>
      <c r="HB18" s="108"/>
      <c r="HC18" s="108"/>
      <c r="HD18" s="108"/>
      <c r="HE18" s="108"/>
      <c r="HF18" s="108"/>
      <c r="HG18" s="108"/>
      <c r="HH18" s="108"/>
      <c r="HI18" s="108"/>
      <c r="HJ18" s="108"/>
      <c r="HK18" s="108"/>
      <c r="HL18" s="108"/>
      <c r="HM18" s="108"/>
      <c r="HN18" s="108"/>
      <c r="HO18" s="108"/>
      <c r="HP18" s="108"/>
      <c r="HQ18" s="108"/>
      <c r="HR18" s="108"/>
      <c r="HS18" s="108"/>
      <c r="HT18" s="108"/>
      <c r="HU18" s="108"/>
      <c r="HV18" s="108"/>
      <c r="HW18" s="108"/>
      <c r="HX18" s="108"/>
      <c r="HY18" s="108"/>
      <c r="HZ18" s="108"/>
      <c r="IA18" s="108"/>
      <c r="IB18" s="108"/>
      <c r="IC18" s="108"/>
      <c r="ID18" s="108"/>
      <c r="IE18" s="108"/>
      <c r="IF18" s="108"/>
      <c r="IG18" s="108"/>
      <c r="IH18" s="108"/>
      <c r="II18" s="108"/>
      <c r="IJ18" s="108"/>
      <c r="IK18" s="108"/>
      <c r="IL18" s="108"/>
      <c r="IM18" s="108"/>
      <c r="IN18" s="108"/>
      <c r="IO18" s="108"/>
      <c r="IP18" s="108"/>
      <c r="IQ18" s="108"/>
      <c r="IR18" s="108"/>
      <c r="IS18" s="108"/>
      <c r="IT18" s="108"/>
      <c r="IU18" s="108"/>
      <c r="IV18" s="108"/>
    </row>
    <row r="19" spans="1:256" ht="15" customHeight="1" x14ac:dyDescent="0.25">
      <c r="A19" s="108"/>
      <c r="B19" s="107"/>
      <c r="C19" s="115"/>
      <c r="D19" s="509" t="s">
        <v>60</v>
      </c>
      <c r="E19" s="402" t="s">
        <v>658</v>
      </c>
      <c r="F19" s="509">
        <v>25</v>
      </c>
      <c r="G19" s="402" t="s">
        <v>190</v>
      </c>
      <c r="H19" s="108"/>
      <c r="I19" s="108"/>
      <c r="J19" s="108"/>
      <c r="K19" s="108"/>
      <c r="L19" s="108"/>
      <c r="M19" s="108"/>
      <c r="N19" s="108"/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108"/>
      <c r="AA19" s="108"/>
      <c r="AB19" s="108"/>
      <c r="AC19" s="108"/>
      <c r="AD19" s="108"/>
      <c r="AE19" s="108"/>
      <c r="AF19" s="108"/>
      <c r="AG19" s="108"/>
      <c r="AH19" s="108"/>
      <c r="AI19" s="108"/>
      <c r="AJ19" s="108"/>
      <c r="AK19" s="108"/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108"/>
      <c r="BE19" s="108"/>
      <c r="BF19" s="108"/>
      <c r="BG19" s="108"/>
      <c r="BH19" s="108"/>
      <c r="BI19" s="108"/>
      <c r="BJ19" s="108"/>
      <c r="BK19" s="108"/>
      <c r="BL19" s="108"/>
      <c r="BM19" s="108"/>
      <c r="BN19" s="108"/>
      <c r="BO19" s="108"/>
      <c r="BP19" s="108"/>
      <c r="BQ19" s="108"/>
      <c r="BR19" s="108"/>
      <c r="BS19" s="108"/>
      <c r="BT19" s="108"/>
      <c r="BU19" s="108"/>
      <c r="BV19" s="108"/>
      <c r="BW19" s="108"/>
      <c r="BX19" s="108"/>
      <c r="BY19" s="108"/>
      <c r="BZ19" s="108"/>
      <c r="CA19" s="108"/>
      <c r="CB19" s="108"/>
      <c r="CC19" s="108"/>
      <c r="CD19" s="108"/>
      <c r="CE19" s="108"/>
      <c r="CF19" s="108"/>
      <c r="CG19" s="108"/>
      <c r="CH19" s="108"/>
      <c r="CI19" s="108"/>
      <c r="CJ19" s="108"/>
      <c r="CK19" s="108"/>
      <c r="CL19" s="108"/>
      <c r="CM19" s="108"/>
      <c r="CN19" s="108"/>
      <c r="CO19" s="108"/>
      <c r="CP19" s="108"/>
      <c r="CQ19" s="108"/>
      <c r="CR19" s="108"/>
      <c r="CS19" s="108"/>
      <c r="CT19" s="108"/>
      <c r="CU19" s="108"/>
      <c r="CV19" s="108"/>
      <c r="CW19" s="108"/>
      <c r="CX19" s="108"/>
      <c r="CY19" s="108"/>
      <c r="CZ19" s="108"/>
      <c r="DA19" s="108"/>
      <c r="DB19" s="108"/>
      <c r="DC19" s="108"/>
      <c r="DD19" s="108"/>
      <c r="DE19" s="108"/>
      <c r="DF19" s="108"/>
      <c r="DG19" s="108"/>
      <c r="DH19" s="108"/>
      <c r="DI19" s="108"/>
      <c r="DJ19" s="108"/>
      <c r="DK19" s="108"/>
      <c r="DL19" s="108"/>
      <c r="DM19" s="108"/>
      <c r="DN19" s="108"/>
      <c r="DO19" s="108"/>
      <c r="DP19" s="108"/>
      <c r="DQ19" s="108"/>
      <c r="DR19" s="108"/>
      <c r="DS19" s="108"/>
      <c r="DT19" s="108"/>
      <c r="DU19" s="108"/>
      <c r="DV19" s="108"/>
      <c r="DW19" s="108"/>
      <c r="DX19" s="108"/>
      <c r="DY19" s="108"/>
      <c r="DZ19" s="108"/>
      <c r="EA19" s="108"/>
      <c r="EB19" s="108"/>
      <c r="EC19" s="108"/>
      <c r="ED19" s="108"/>
      <c r="EE19" s="108"/>
      <c r="EF19" s="108"/>
      <c r="EG19" s="108"/>
      <c r="EH19" s="108"/>
      <c r="EI19" s="108"/>
      <c r="EJ19" s="108"/>
      <c r="EK19" s="108"/>
      <c r="EL19" s="108"/>
      <c r="EM19" s="108"/>
      <c r="EN19" s="108"/>
      <c r="EO19" s="108"/>
      <c r="EP19" s="108"/>
      <c r="EQ19" s="108"/>
      <c r="ER19" s="108"/>
      <c r="ES19" s="108"/>
      <c r="ET19" s="108"/>
      <c r="EU19" s="108"/>
      <c r="EV19" s="108"/>
      <c r="EW19" s="108"/>
      <c r="EX19" s="108"/>
      <c r="EY19" s="108"/>
      <c r="EZ19" s="108"/>
      <c r="FA19" s="108"/>
      <c r="FB19" s="108"/>
      <c r="FC19" s="108"/>
      <c r="FD19" s="108"/>
      <c r="FE19" s="108"/>
      <c r="FF19" s="108"/>
      <c r="FG19" s="108"/>
      <c r="FH19" s="108"/>
      <c r="FI19" s="108"/>
      <c r="FJ19" s="108"/>
      <c r="FK19" s="108"/>
      <c r="FL19" s="108"/>
      <c r="FM19" s="108"/>
      <c r="FN19" s="108"/>
      <c r="FO19" s="108"/>
      <c r="FP19" s="108"/>
      <c r="FQ19" s="108"/>
      <c r="FR19" s="108"/>
      <c r="FS19" s="108"/>
      <c r="FT19" s="108"/>
      <c r="FU19" s="108"/>
      <c r="FV19" s="108"/>
      <c r="FW19" s="108"/>
      <c r="FX19" s="108"/>
      <c r="FY19" s="108"/>
      <c r="FZ19" s="108"/>
      <c r="GA19" s="108"/>
      <c r="GB19" s="108"/>
      <c r="GC19" s="108"/>
      <c r="GD19" s="108"/>
      <c r="GE19" s="108"/>
      <c r="GF19" s="108"/>
      <c r="GG19" s="108"/>
      <c r="GH19" s="108"/>
      <c r="GI19" s="108"/>
      <c r="GJ19" s="108"/>
      <c r="GK19" s="108"/>
      <c r="GL19" s="108"/>
      <c r="GM19" s="108"/>
      <c r="GN19" s="108"/>
      <c r="GO19" s="108"/>
      <c r="GP19" s="108"/>
      <c r="GQ19" s="108"/>
      <c r="GR19" s="108"/>
      <c r="GS19" s="108"/>
      <c r="GT19" s="108"/>
      <c r="GU19" s="108"/>
      <c r="GV19" s="108"/>
      <c r="GW19" s="108"/>
      <c r="GX19" s="108"/>
      <c r="GY19" s="108"/>
      <c r="GZ19" s="108"/>
      <c r="HA19" s="108"/>
      <c r="HB19" s="108"/>
      <c r="HC19" s="108"/>
      <c r="HD19" s="108"/>
      <c r="HE19" s="108"/>
      <c r="HF19" s="108"/>
      <c r="HG19" s="108"/>
      <c r="HH19" s="108"/>
      <c r="HI19" s="108"/>
      <c r="HJ19" s="108"/>
      <c r="HK19" s="108"/>
      <c r="HL19" s="108"/>
      <c r="HM19" s="108"/>
      <c r="HN19" s="108"/>
      <c r="HO19" s="108"/>
      <c r="HP19" s="108"/>
      <c r="HQ19" s="108"/>
      <c r="HR19" s="108"/>
      <c r="HS19" s="108"/>
      <c r="HT19" s="108"/>
      <c r="HU19" s="108"/>
      <c r="HV19" s="108"/>
      <c r="HW19" s="108"/>
      <c r="HX19" s="108"/>
      <c r="HY19" s="108"/>
      <c r="HZ19" s="108"/>
      <c r="IA19" s="108"/>
      <c r="IB19" s="108"/>
      <c r="IC19" s="108"/>
      <c r="ID19" s="108"/>
      <c r="IE19" s="108"/>
      <c r="IF19" s="108"/>
      <c r="IG19" s="108"/>
      <c r="IH19" s="108"/>
      <c r="II19" s="108"/>
      <c r="IJ19" s="108"/>
      <c r="IK19" s="108"/>
      <c r="IL19" s="108"/>
      <c r="IM19" s="108"/>
      <c r="IN19" s="108"/>
      <c r="IO19" s="108"/>
      <c r="IP19" s="108"/>
      <c r="IQ19" s="108"/>
      <c r="IR19" s="108"/>
      <c r="IS19" s="108"/>
      <c r="IT19" s="108"/>
      <c r="IU19" s="108"/>
      <c r="IV19" s="108"/>
    </row>
    <row r="20" spans="1:256" ht="8.1" customHeight="1" x14ac:dyDescent="0.35">
      <c r="A20" s="108"/>
      <c r="B20" s="107"/>
      <c r="C20" s="132"/>
      <c r="D20" s="509"/>
      <c r="E20" s="402"/>
      <c r="F20" s="593"/>
      <c r="G20" s="402"/>
      <c r="H20" s="108"/>
      <c r="I20" s="108"/>
      <c r="J20" s="108"/>
      <c r="K20" s="108"/>
      <c r="L20" s="108"/>
      <c r="M20" s="108"/>
      <c r="N20" s="108"/>
      <c r="O20" s="108"/>
      <c r="P20" s="108"/>
      <c r="Q20" s="108"/>
      <c r="R20" s="108"/>
      <c r="S20" s="108"/>
      <c r="T20" s="108"/>
      <c r="U20" s="108"/>
      <c r="V20" s="108"/>
      <c r="W20" s="108"/>
      <c r="X20" s="108"/>
      <c r="Y20" s="108"/>
      <c r="Z20" s="108"/>
      <c r="AA20" s="108"/>
      <c r="AB20" s="108"/>
      <c r="AC20" s="108"/>
      <c r="AD20" s="108"/>
      <c r="AE20" s="108"/>
      <c r="AF20" s="108"/>
      <c r="AG20" s="108"/>
      <c r="AH20" s="108"/>
      <c r="AI20" s="108"/>
      <c r="AJ20" s="108"/>
      <c r="AK20" s="108"/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  <c r="AV20" s="108"/>
      <c r="AW20" s="108"/>
      <c r="AX20" s="108"/>
      <c r="AY20" s="108"/>
      <c r="AZ20" s="108"/>
      <c r="BA20" s="108"/>
      <c r="BB20" s="108"/>
      <c r="BC20" s="108"/>
      <c r="BD20" s="108"/>
      <c r="BE20" s="108"/>
      <c r="BF20" s="108"/>
      <c r="BG20" s="108"/>
      <c r="BH20" s="108"/>
      <c r="BI20" s="108"/>
      <c r="BJ20" s="108"/>
      <c r="BK20" s="108"/>
      <c r="BL20" s="108"/>
      <c r="BM20" s="108"/>
      <c r="BN20" s="108"/>
      <c r="BO20" s="108"/>
      <c r="BP20" s="108"/>
      <c r="BQ20" s="108"/>
      <c r="BR20" s="108"/>
      <c r="BS20" s="108"/>
      <c r="BT20" s="108"/>
      <c r="BU20" s="108"/>
      <c r="BV20" s="108"/>
      <c r="BW20" s="108"/>
      <c r="BX20" s="108"/>
      <c r="BY20" s="108"/>
      <c r="BZ20" s="108"/>
      <c r="CA20" s="108"/>
      <c r="CB20" s="108"/>
      <c r="CC20" s="108"/>
      <c r="CD20" s="108"/>
      <c r="CE20" s="108"/>
      <c r="CF20" s="108"/>
      <c r="CG20" s="108"/>
      <c r="CH20" s="108"/>
      <c r="CI20" s="108"/>
      <c r="CJ20" s="108"/>
      <c r="CK20" s="108"/>
      <c r="CL20" s="108"/>
      <c r="CM20" s="108"/>
      <c r="CN20" s="108"/>
      <c r="CO20" s="108"/>
      <c r="CP20" s="108"/>
      <c r="CQ20" s="108"/>
      <c r="CR20" s="108"/>
      <c r="CS20" s="108"/>
      <c r="CT20" s="108"/>
      <c r="CU20" s="108"/>
      <c r="CV20" s="108"/>
      <c r="CW20" s="108"/>
      <c r="CX20" s="108"/>
      <c r="CY20" s="108"/>
      <c r="CZ20" s="108"/>
      <c r="DA20" s="108"/>
      <c r="DB20" s="108"/>
      <c r="DC20" s="108"/>
      <c r="DD20" s="108"/>
      <c r="DE20" s="108"/>
      <c r="DF20" s="108"/>
      <c r="DG20" s="108"/>
      <c r="DH20" s="108"/>
      <c r="DI20" s="108"/>
      <c r="DJ20" s="108"/>
      <c r="DK20" s="108"/>
      <c r="DL20" s="108"/>
      <c r="DM20" s="108"/>
      <c r="DN20" s="108"/>
      <c r="DO20" s="108"/>
      <c r="DP20" s="108"/>
      <c r="DQ20" s="108"/>
      <c r="DR20" s="108"/>
      <c r="DS20" s="108"/>
      <c r="DT20" s="108"/>
      <c r="DU20" s="108"/>
      <c r="DV20" s="108"/>
      <c r="DW20" s="108"/>
      <c r="DX20" s="108"/>
      <c r="DY20" s="108"/>
      <c r="DZ20" s="108"/>
      <c r="EA20" s="108"/>
      <c r="EB20" s="108"/>
      <c r="EC20" s="108"/>
      <c r="ED20" s="108"/>
      <c r="EE20" s="108"/>
      <c r="EF20" s="108"/>
      <c r="EG20" s="108"/>
      <c r="EH20" s="108"/>
      <c r="EI20" s="108"/>
      <c r="EJ20" s="108"/>
      <c r="EK20" s="108"/>
      <c r="EL20" s="108"/>
      <c r="EM20" s="108"/>
      <c r="EN20" s="108"/>
      <c r="EO20" s="108"/>
      <c r="EP20" s="108"/>
      <c r="EQ20" s="108"/>
      <c r="ER20" s="108"/>
      <c r="ES20" s="108"/>
      <c r="ET20" s="108"/>
      <c r="EU20" s="108"/>
      <c r="EV20" s="108"/>
      <c r="EW20" s="108"/>
      <c r="EX20" s="108"/>
      <c r="EY20" s="108"/>
      <c r="EZ20" s="108"/>
      <c r="FA20" s="108"/>
      <c r="FB20" s="108"/>
      <c r="FC20" s="108"/>
      <c r="FD20" s="108"/>
      <c r="FE20" s="108"/>
      <c r="FF20" s="108"/>
      <c r="FG20" s="108"/>
      <c r="FH20" s="108"/>
      <c r="FI20" s="108"/>
      <c r="FJ20" s="108"/>
      <c r="FK20" s="108"/>
      <c r="FL20" s="108"/>
      <c r="FM20" s="108"/>
      <c r="FN20" s="108"/>
      <c r="FO20" s="108"/>
      <c r="FP20" s="108"/>
      <c r="FQ20" s="108"/>
      <c r="FR20" s="108"/>
      <c r="FS20" s="108"/>
      <c r="FT20" s="108"/>
      <c r="FU20" s="108"/>
      <c r="FV20" s="108"/>
      <c r="FW20" s="108"/>
      <c r="FX20" s="108"/>
      <c r="FY20" s="108"/>
      <c r="FZ20" s="108"/>
      <c r="GA20" s="108"/>
      <c r="GB20" s="108"/>
      <c r="GC20" s="108"/>
      <c r="GD20" s="108"/>
      <c r="GE20" s="108"/>
      <c r="GF20" s="108"/>
      <c r="GG20" s="108"/>
      <c r="GH20" s="108"/>
      <c r="GI20" s="108"/>
      <c r="GJ20" s="108"/>
      <c r="GK20" s="108"/>
      <c r="GL20" s="108"/>
      <c r="GM20" s="108"/>
      <c r="GN20" s="108"/>
      <c r="GO20" s="108"/>
      <c r="GP20" s="108"/>
      <c r="GQ20" s="108"/>
      <c r="GR20" s="108"/>
      <c r="GS20" s="108"/>
      <c r="GT20" s="108"/>
      <c r="GU20" s="108"/>
      <c r="GV20" s="108"/>
      <c r="GW20" s="108"/>
      <c r="GX20" s="108"/>
      <c r="GY20" s="108"/>
      <c r="GZ20" s="108"/>
      <c r="HA20" s="108"/>
      <c r="HB20" s="108"/>
      <c r="HC20" s="108"/>
      <c r="HD20" s="108"/>
      <c r="HE20" s="108"/>
      <c r="HF20" s="108"/>
      <c r="HG20" s="108"/>
      <c r="HH20" s="108"/>
      <c r="HI20" s="108"/>
      <c r="HJ20" s="108"/>
      <c r="HK20" s="108"/>
      <c r="HL20" s="108"/>
      <c r="HM20" s="108"/>
      <c r="HN20" s="108"/>
      <c r="HO20" s="108"/>
      <c r="HP20" s="108"/>
      <c r="HQ20" s="108"/>
      <c r="HR20" s="108"/>
      <c r="HS20" s="108"/>
      <c r="HT20" s="108"/>
      <c r="HU20" s="108"/>
      <c r="HV20" s="108"/>
      <c r="HW20" s="108"/>
      <c r="HX20" s="108"/>
      <c r="HY20" s="108"/>
      <c r="HZ20" s="108"/>
      <c r="IA20" s="108"/>
      <c r="IB20" s="108"/>
      <c r="IC20" s="108"/>
      <c r="ID20" s="108"/>
      <c r="IE20" s="108"/>
      <c r="IF20" s="108"/>
      <c r="IG20" s="108"/>
      <c r="IH20" s="108"/>
      <c r="II20" s="108"/>
      <c r="IJ20" s="108"/>
      <c r="IK20" s="108"/>
      <c r="IL20" s="108"/>
      <c r="IM20" s="108"/>
      <c r="IN20" s="108"/>
      <c r="IO20" s="108"/>
      <c r="IP20" s="108"/>
      <c r="IQ20" s="108"/>
      <c r="IR20" s="108"/>
      <c r="IS20" s="108"/>
      <c r="IT20" s="108"/>
      <c r="IU20" s="108"/>
      <c r="IV20" s="108"/>
    </row>
    <row r="21" spans="1:256" ht="15" customHeight="1" x14ac:dyDescent="0.25">
      <c r="A21" s="108"/>
      <c r="B21" s="107"/>
      <c r="C21" s="115"/>
      <c r="D21" s="509" t="s">
        <v>61</v>
      </c>
      <c r="E21" s="402" t="s">
        <v>181</v>
      </c>
      <c r="F21" s="509">
        <v>26</v>
      </c>
      <c r="G21" s="402" t="s">
        <v>373</v>
      </c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8"/>
      <c r="T21" s="108"/>
      <c r="U21" s="108"/>
      <c r="V21" s="108"/>
      <c r="W21" s="108"/>
      <c r="X21" s="108"/>
      <c r="Y21" s="108"/>
      <c r="Z21" s="108"/>
      <c r="AA21" s="108"/>
      <c r="AB21" s="108"/>
      <c r="AC21" s="108"/>
      <c r="AD21" s="108"/>
      <c r="AE21" s="108"/>
      <c r="AF21" s="108"/>
      <c r="AG21" s="108"/>
      <c r="AH21" s="108"/>
      <c r="AI21" s="108"/>
      <c r="AJ21" s="108"/>
      <c r="AK21" s="108"/>
      <c r="AL21" s="108"/>
      <c r="AM21" s="108"/>
      <c r="AN21" s="108"/>
      <c r="AO21" s="108"/>
      <c r="AP21" s="108"/>
      <c r="AQ21" s="108"/>
      <c r="AR21" s="108"/>
      <c r="AS21" s="108"/>
      <c r="AT21" s="108"/>
      <c r="AU21" s="108"/>
      <c r="AV21" s="108"/>
      <c r="AW21" s="108"/>
      <c r="AX21" s="108"/>
      <c r="AY21" s="108"/>
      <c r="AZ21" s="108"/>
      <c r="BA21" s="108"/>
      <c r="BB21" s="108"/>
      <c r="BC21" s="108"/>
      <c r="BD21" s="108"/>
      <c r="BE21" s="108"/>
      <c r="BF21" s="108"/>
      <c r="BG21" s="108"/>
      <c r="BH21" s="108"/>
      <c r="BI21" s="108"/>
      <c r="BJ21" s="108"/>
      <c r="BK21" s="108"/>
      <c r="BL21" s="108"/>
      <c r="BM21" s="108"/>
      <c r="BN21" s="108"/>
      <c r="BO21" s="108"/>
      <c r="BP21" s="108"/>
      <c r="BQ21" s="108"/>
      <c r="BR21" s="108"/>
      <c r="BS21" s="108"/>
      <c r="BT21" s="108"/>
      <c r="BU21" s="108"/>
      <c r="BV21" s="108"/>
      <c r="BW21" s="108"/>
      <c r="BX21" s="108"/>
      <c r="BY21" s="108"/>
      <c r="BZ21" s="108"/>
      <c r="CA21" s="108"/>
      <c r="CB21" s="108"/>
      <c r="CC21" s="108"/>
      <c r="CD21" s="108"/>
      <c r="CE21" s="108"/>
      <c r="CF21" s="108"/>
      <c r="CG21" s="108"/>
      <c r="CH21" s="108"/>
      <c r="CI21" s="108"/>
      <c r="CJ21" s="108"/>
      <c r="CK21" s="108"/>
      <c r="CL21" s="108"/>
      <c r="CM21" s="108"/>
      <c r="CN21" s="108"/>
      <c r="CO21" s="108"/>
      <c r="CP21" s="108"/>
      <c r="CQ21" s="108"/>
      <c r="CR21" s="108"/>
      <c r="CS21" s="108"/>
      <c r="CT21" s="108"/>
      <c r="CU21" s="108"/>
      <c r="CV21" s="108"/>
      <c r="CW21" s="108"/>
      <c r="CX21" s="108"/>
      <c r="CY21" s="108"/>
      <c r="CZ21" s="108"/>
      <c r="DA21" s="108"/>
      <c r="DB21" s="108"/>
      <c r="DC21" s="108"/>
      <c r="DD21" s="108"/>
      <c r="DE21" s="108"/>
      <c r="DF21" s="108"/>
      <c r="DG21" s="108"/>
      <c r="DH21" s="108"/>
      <c r="DI21" s="108"/>
      <c r="DJ21" s="108"/>
      <c r="DK21" s="108"/>
      <c r="DL21" s="108"/>
      <c r="DM21" s="108"/>
      <c r="DN21" s="108"/>
      <c r="DO21" s="108"/>
      <c r="DP21" s="108"/>
      <c r="DQ21" s="108"/>
      <c r="DR21" s="108"/>
      <c r="DS21" s="108"/>
      <c r="DT21" s="108"/>
      <c r="DU21" s="108"/>
      <c r="DV21" s="108"/>
      <c r="DW21" s="108"/>
      <c r="DX21" s="108"/>
      <c r="DY21" s="108"/>
      <c r="DZ21" s="108"/>
      <c r="EA21" s="108"/>
      <c r="EB21" s="108"/>
      <c r="EC21" s="108"/>
      <c r="ED21" s="108"/>
      <c r="EE21" s="108"/>
      <c r="EF21" s="108"/>
      <c r="EG21" s="108"/>
      <c r="EH21" s="108"/>
      <c r="EI21" s="108"/>
      <c r="EJ21" s="108"/>
      <c r="EK21" s="108"/>
      <c r="EL21" s="108"/>
      <c r="EM21" s="108"/>
      <c r="EN21" s="108"/>
      <c r="EO21" s="108"/>
      <c r="EP21" s="108"/>
      <c r="EQ21" s="108"/>
      <c r="ER21" s="108"/>
      <c r="ES21" s="108"/>
      <c r="ET21" s="108"/>
      <c r="EU21" s="108"/>
      <c r="EV21" s="108"/>
      <c r="EW21" s="108"/>
      <c r="EX21" s="108"/>
      <c r="EY21" s="108"/>
      <c r="EZ21" s="108"/>
      <c r="FA21" s="108"/>
      <c r="FB21" s="108"/>
      <c r="FC21" s="108"/>
      <c r="FD21" s="108"/>
      <c r="FE21" s="108"/>
      <c r="FF21" s="108"/>
      <c r="FG21" s="108"/>
      <c r="FH21" s="108"/>
      <c r="FI21" s="108"/>
      <c r="FJ21" s="108"/>
      <c r="FK21" s="108"/>
      <c r="FL21" s="108"/>
      <c r="FM21" s="108"/>
      <c r="FN21" s="108"/>
      <c r="FO21" s="108"/>
      <c r="FP21" s="108"/>
      <c r="FQ21" s="108"/>
      <c r="FR21" s="108"/>
      <c r="FS21" s="108"/>
      <c r="FT21" s="108"/>
      <c r="FU21" s="108"/>
      <c r="FV21" s="108"/>
      <c r="FW21" s="108"/>
      <c r="FX21" s="108"/>
      <c r="FY21" s="108"/>
      <c r="FZ21" s="108"/>
      <c r="GA21" s="108"/>
      <c r="GB21" s="108"/>
      <c r="GC21" s="108"/>
      <c r="GD21" s="108"/>
      <c r="GE21" s="108"/>
      <c r="GF21" s="108"/>
      <c r="GG21" s="108"/>
      <c r="GH21" s="108"/>
      <c r="GI21" s="108"/>
      <c r="GJ21" s="108"/>
      <c r="GK21" s="108"/>
      <c r="GL21" s="108"/>
      <c r="GM21" s="108"/>
      <c r="GN21" s="108"/>
      <c r="GO21" s="108"/>
      <c r="GP21" s="108"/>
      <c r="GQ21" s="108"/>
      <c r="GR21" s="108"/>
      <c r="GS21" s="108"/>
      <c r="GT21" s="108"/>
      <c r="GU21" s="108"/>
      <c r="GV21" s="108"/>
      <c r="GW21" s="108"/>
      <c r="GX21" s="108"/>
      <c r="GY21" s="108"/>
      <c r="GZ21" s="108"/>
      <c r="HA21" s="108"/>
      <c r="HB21" s="108"/>
      <c r="HC21" s="108"/>
      <c r="HD21" s="108"/>
      <c r="HE21" s="108"/>
      <c r="HF21" s="108"/>
      <c r="HG21" s="108"/>
      <c r="HH21" s="108"/>
      <c r="HI21" s="108"/>
      <c r="HJ21" s="108"/>
      <c r="HK21" s="108"/>
      <c r="HL21" s="108"/>
      <c r="HM21" s="108"/>
      <c r="HN21" s="108"/>
      <c r="HO21" s="108"/>
      <c r="HP21" s="108"/>
      <c r="HQ21" s="108"/>
      <c r="HR21" s="108"/>
      <c r="HS21" s="108"/>
      <c r="HT21" s="108"/>
      <c r="HU21" s="108"/>
      <c r="HV21" s="108"/>
      <c r="HW21" s="108"/>
      <c r="HX21" s="108"/>
      <c r="HY21" s="108"/>
      <c r="HZ21" s="108"/>
      <c r="IA21" s="108"/>
      <c r="IB21" s="108"/>
      <c r="IC21" s="108"/>
      <c r="ID21" s="108"/>
      <c r="IE21" s="108"/>
      <c r="IF21" s="108"/>
      <c r="IG21" s="108"/>
      <c r="IH21" s="108"/>
      <c r="II21" s="108"/>
      <c r="IJ21" s="108"/>
      <c r="IK21" s="108"/>
      <c r="IL21" s="108"/>
      <c r="IM21" s="108"/>
      <c r="IN21" s="108"/>
      <c r="IO21" s="108"/>
      <c r="IP21" s="108"/>
      <c r="IQ21" s="108"/>
      <c r="IR21" s="108"/>
      <c r="IS21" s="108"/>
      <c r="IT21" s="108"/>
      <c r="IU21" s="108"/>
      <c r="IV21" s="108"/>
    </row>
    <row r="22" spans="1:256" ht="8.1" customHeight="1" x14ac:dyDescent="0.35">
      <c r="A22" s="108"/>
      <c r="B22" s="107"/>
      <c r="C22" s="132"/>
      <c r="D22" s="509"/>
      <c r="E22" s="402"/>
      <c r="F22" s="593"/>
      <c r="G22" s="402"/>
      <c r="H22" s="108"/>
      <c r="I22" s="108"/>
      <c r="J22" s="108"/>
      <c r="K22" s="108"/>
      <c r="L22" s="108"/>
      <c r="M22" s="108"/>
      <c r="N22" s="108"/>
      <c r="O22" s="108"/>
      <c r="P22" s="108"/>
      <c r="Q22" s="108"/>
      <c r="R22" s="108"/>
      <c r="S22" s="108"/>
      <c r="T22" s="108"/>
      <c r="U22" s="108"/>
      <c r="V22" s="108"/>
      <c r="W22" s="108"/>
      <c r="X22" s="108"/>
      <c r="Y22" s="108"/>
      <c r="Z22" s="108"/>
      <c r="AA22" s="108"/>
      <c r="AB22" s="108"/>
      <c r="AC22" s="108"/>
      <c r="AD22" s="108"/>
      <c r="AE22" s="108"/>
      <c r="AF22" s="108"/>
      <c r="AG22" s="108"/>
      <c r="AH22" s="108"/>
      <c r="AI22" s="108"/>
      <c r="AJ22" s="108"/>
      <c r="AK22" s="108"/>
      <c r="AL22" s="108"/>
      <c r="AM22" s="108"/>
      <c r="AN22" s="108"/>
      <c r="AO22" s="108"/>
      <c r="AP22" s="108"/>
      <c r="AQ22" s="108"/>
      <c r="AR22" s="108"/>
      <c r="AS22" s="108"/>
      <c r="AT22" s="108"/>
      <c r="AU22" s="108"/>
      <c r="AV22" s="108"/>
      <c r="AW22" s="108"/>
      <c r="AX22" s="108"/>
      <c r="AY22" s="108"/>
      <c r="AZ22" s="108"/>
      <c r="BA22" s="108"/>
      <c r="BB22" s="108"/>
      <c r="BC22" s="108"/>
      <c r="BD22" s="108"/>
      <c r="BE22" s="108"/>
      <c r="BF22" s="108"/>
      <c r="BG22" s="108"/>
      <c r="BH22" s="108"/>
      <c r="BI22" s="108"/>
      <c r="BJ22" s="108"/>
      <c r="BK22" s="108"/>
      <c r="BL22" s="108"/>
      <c r="BM22" s="108"/>
      <c r="BN22" s="108"/>
      <c r="BO22" s="108"/>
      <c r="BP22" s="108"/>
      <c r="BQ22" s="108"/>
      <c r="BR22" s="108"/>
      <c r="BS22" s="108"/>
      <c r="BT22" s="108"/>
      <c r="BU22" s="108"/>
      <c r="BV22" s="108"/>
      <c r="BW22" s="108"/>
      <c r="BX22" s="108"/>
      <c r="BY22" s="108"/>
      <c r="BZ22" s="108"/>
      <c r="CA22" s="108"/>
      <c r="CB22" s="108"/>
      <c r="CC22" s="108"/>
      <c r="CD22" s="108"/>
      <c r="CE22" s="108"/>
      <c r="CF22" s="108"/>
      <c r="CG22" s="108"/>
      <c r="CH22" s="108"/>
      <c r="CI22" s="108"/>
      <c r="CJ22" s="108"/>
      <c r="CK22" s="108"/>
      <c r="CL22" s="108"/>
      <c r="CM22" s="108"/>
      <c r="CN22" s="108"/>
      <c r="CO22" s="108"/>
      <c r="CP22" s="108"/>
      <c r="CQ22" s="108"/>
      <c r="CR22" s="108"/>
      <c r="CS22" s="108"/>
      <c r="CT22" s="108"/>
      <c r="CU22" s="108"/>
      <c r="CV22" s="108"/>
      <c r="CW22" s="108"/>
      <c r="CX22" s="108"/>
      <c r="CY22" s="108"/>
      <c r="CZ22" s="108"/>
      <c r="DA22" s="108"/>
      <c r="DB22" s="108"/>
      <c r="DC22" s="108"/>
      <c r="DD22" s="108"/>
      <c r="DE22" s="108"/>
      <c r="DF22" s="108"/>
      <c r="DG22" s="108"/>
      <c r="DH22" s="108"/>
      <c r="DI22" s="108"/>
      <c r="DJ22" s="108"/>
      <c r="DK22" s="108"/>
      <c r="DL22" s="108"/>
      <c r="DM22" s="108"/>
      <c r="DN22" s="108"/>
      <c r="DO22" s="108"/>
      <c r="DP22" s="108"/>
      <c r="DQ22" s="108"/>
      <c r="DR22" s="108"/>
      <c r="DS22" s="108"/>
      <c r="DT22" s="108"/>
      <c r="DU22" s="108"/>
      <c r="DV22" s="108"/>
      <c r="DW22" s="108"/>
      <c r="DX22" s="108"/>
      <c r="DY22" s="108"/>
      <c r="DZ22" s="108"/>
      <c r="EA22" s="108"/>
      <c r="EB22" s="108"/>
      <c r="EC22" s="108"/>
      <c r="ED22" s="108"/>
      <c r="EE22" s="108"/>
      <c r="EF22" s="108"/>
      <c r="EG22" s="108"/>
      <c r="EH22" s="108"/>
      <c r="EI22" s="108"/>
      <c r="EJ22" s="108"/>
      <c r="EK22" s="108"/>
      <c r="EL22" s="108"/>
      <c r="EM22" s="108"/>
      <c r="EN22" s="108"/>
      <c r="EO22" s="108"/>
      <c r="EP22" s="108"/>
      <c r="EQ22" s="108"/>
      <c r="ER22" s="108"/>
      <c r="ES22" s="108"/>
      <c r="ET22" s="108"/>
      <c r="EU22" s="108"/>
      <c r="EV22" s="108"/>
      <c r="EW22" s="108"/>
      <c r="EX22" s="108"/>
      <c r="EY22" s="108"/>
      <c r="EZ22" s="108"/>
      <c r="FA22" s="108"/>
      <c r="FB22" s="108"/>
      <c r="FC22" s="108"/>
      <c r="FD22" s="108"/>
      <c r="FE22" s="108"/>
      <c r="FF22" s="108"/>
      <c r="FG22" s="108"/>
      <c r="FH22" s="108"/>
      <c r="FI22" s="108"/>
      <c r="FJ22" s="108"/>
      <c r="FK22" s="108"/>
      <c r="FL22" s="108"/>
      <c r="FM22" s="108"/>
      <c r="FN22" s="108"/>
      <c r="FO22" s="108"/>
      <c r="FP22" s="108"/>
      <c r="FQ22" s="108"/>
      <c r="FR22" s="108"/>
      <c r="FS22" s="108"/>
      <c r="FT22" s="108"/>
      <c r="FU22" s="108"/>
      <c r="FV22" s="108"/>
      <c r="FW22" s="108"/>
      <c r="FX22" s="108"/>
      <c r="FY22" s="108"/>
      <c r="FZ22" s="108"/>
      <c r="GA22" s="108"/>
      <c r="GB22" s="108"/>
      <c r="GC22" s="108"/>
      <c r="GD22" s="108"/>
      <c r="GE22" s="108"/>
      <c r="GF22" s="108"/>
      <c r="GG22" s="108"/>
      <c r="GH22" s="108"/>
      <c r="GI22" s="108"/>
      <c r="GJ22" s="108"/>
      <c r="GK22" s="108"/>
      <c r="GL22" s="108"/>
      <c r="GM22" s="108"/>
      <c r="GN22" s="108"/>
      <c r="GO22" s="108"/>
      <c r="GP22" s="108"/>
      <c r="GQ22" s="108"/>
      <c r="GR22" s="108"/>
      <c r="GS22" s="108"/>
      <c r="GT22" s="108"/>
      <c r="GU22" s="108"/>
      <c r="GV22" s="108"/>
      <c r="GW22" s="108"/>
      <c r="GX22" s="108"/>
      <c r="GY22" s="108"/>
      <c r="GZ22" s="108"/>
      <c r="HA22" s="108"/>
      <c r="HB22" s="108"/>
      <c r="HC22" s="108"/>
      <c r="HD22" s="108"/>
      <c r="HE22" s="108"/>
      <c r="HF22" s="108"/>
      <c r="HG22" s="108"/>
      <c r="HH22" s="108"/>
      <c r="HI22" s="108"/>
      <c r="HJ22" s="108"/>
      <c r="HK22" s="108"/>
      <c r="HL22" s="108"/>
      <c r="HM22" s="108"/>
      <c r="HN22" s="108"/>
      <c r="HO22" s="108"/>
      <c r="HP22" s="108"/>
      <c r="HQ22" s="108"/>
      <c r="HR22" s="108"/>
      <c r="HS22" s="108"/>
      <c r="HT22" s="108"/>
      <c r="HU22" s="108"/>
      <c r="HV22" s="108"/>
      <c r="HW22" s="108"/>
      <c r="HX22" s="108"/>
      <c r="HY22" s="108"/>
      <c r="HZ22" s="108"/>
      <c r="IA22" s="108"/>
      <c r="IB22" s="108"/>
      <c r="IC22" s="108"/>
      <c r="ID22" s="108"/>
      <c r="IE22" s="108"/>
      <c r="IF22" s="108"/>
      <c r="IG22" s="108"/>
      <c r="IH22" s="108"/>
      <c r="II22" s="108"/>
      <c r="IJ22" s="108"/>
      <c r="IK22" s="108"/>
      <c r="IL22" s="108"/>
      <c r="IM22" s="108"/>
      <c r="IN22" s="108"/>
      <c r="IO22" s="108"/>
      <c r="IP22" s="108"/>
      <c r="IQ22" s="108"/>
      <c r="IR22" s="108"/>
      <c r="IS22" s="108"/>
      <c r="IT22" s="108"/>
      <c r="IU22" s="108"/>
      <c r="IV22" s="108"/>
    </row>
    <row r="23" spans="1:256" ht="15" customHeight="1" x14ac:dyDescent="0.25">
      <c r="A23" s="108"/>
      <c r="B23" s="107"/>
      <c r="C23" s="115"/>
      <c r="D23" s="509" t="s">
        <v>62</v>
      </c>
      <c r="E23" s="402" t="s">
        <v>180</v>
      </c>
      <c r="F23" s="509">
        <v>27</v>
      </c>
      <c r="G23" s="402" t="s">
        <v>651</v>
      </c>
      <c r="H23" s="108"/>
      <c r="I23" s="108"/>
      <c r="J23" s="108"/>
      <c r="K23" s="108"/>
      <c r="L23" s="108"/>
      <c r="M23" s="108"/>
      <c r="N23" s="108"/>
      <c r="O23" s="108"/>
      <c r="P23" s="108"/>
      <c r="Q23" s="108"/>
      <c r="R23" s="108"/>
      <c r="S23" s="108"/>
      <c r="T23" s="108"/>
      <c r="U23" s="108"/>
      <c r="V23" s="108"/>
      <c r="W23" s="108"/>
      <c r="X23" s="108"/>
      <c r="Y23" s="108"/>
      <c r="Z23" s="108"/>
      <c r="AA23" s="108"/>
      <c r="AB23" s="108"/>
      <c r="AC23" s="108"/>
      <c r="AD23" s="108"/>
      <c r="AE23" s="108"/>
      <c r="AF23" s="108"/>
      <c r="AG23" s="108"/>
      <c r="AH23" s="108"/>
      <c r="AI23" s="108"/>
      <c r="AJ23" s="108"/>
      <c r="AK23" s="108"/>
      <c r="AL23" s="108"/>
      <c r="AM23" s="108"/>
      <c r="AN23" s="108"/>
      <c r="AO23" s="108"/>
      <c r="AP23" s="108"/>
      <c r="AQ23" s="108"/>
      <c r="AR23" s="108"/>
      <c r="AS23" s="108"/>
      <c r="AT23" s="108"/>
      <c r="AU23" s="108"/>
      <c r="AV23" s="108"/>
      <c r="AW23" s="108"/>
      <c r="AX23" s="108"/>
      <c r="AY23" s="108"/>
      <c r="AZ23" s="108"/>
      <c r="BA23" s="108"/>
      <c r="BB23" s="108"/>
      <c r="BC23" s="108"/>
      <c r="BD23" s="108"/>
      <c r="BE23" s="108"/>
      <c r="BF23" s="108"/>
      <c r="BG23" s="108"/>
      <c r="BH23" s="108"/>
      <c r="BI23" s="108"/>
      <c r="BJ23" s="108"/>
      <c r="BK23" s="108"/>
      <c r="BL23" s="108"/>
      <c r="BM23" s="108"/>
      <c r="BN23" s="108"/>
      <c r="BO23" s="108"/>
      <c r="BP23" s="108"/>
      <c r="BQ23" s="108"/>
      <c r="BR23" s="108"/>
      <c r="BS23" s="108"/>
      <c r="BT23" s="108"/>
      <c r="BU23" s="108"/>
      <c r="BV23" s="108"/>
      <c r="BW23" s="108"/>
      <c r="BX23" s="108"/>
      <c r="BY23" s="108"/>
      <c r="BZ23" s="108"/>
      <c r="CA23" s="108"/>
      <c r="CB23" s="108"/>
      <c r="CC23" s="108"/>
      <c r="CD23" s="108"/>
      <c r="CE23" s="108"/>
      <c r="CF23" s="108"/>
      <c r="CG23" s="108"/>
      <c r="CH23" s="108"/>
      <c r="CI23" s="108"/>
      <c r="CJ23" s="108"/>
      <c r="CK23" s="108"/>
      <c r="CL23" s="108"/>
      <c r="CM23" s="108"/>
      <c r="CN23" s="108"/>
      <c r="CO23" s="108"/>
      <c r="CP23" s="108"/>
      <c r="CQ23" s="108"/>
      <c r="CR23" s="108"/>
      <c r="CS23" s="108"/>
      <c r="CT23" s="108"/>
      <c r="CU23" s="108"/>
      <c r="CV23" s="108"/>
      <c r="CW23" s="108"/>
      <c r="CX23" s="108"/>
      <c r="CY23" s="108"/>
      <c r="CZ23" s="108"/>
      <c r="DA23" s="108"/>
      <c r="DB23" s="108"/>
      <c r="DC23" s="108"/>
      <c r="DD23" s="108"/>
      <c r="DE23" s="108"/>
      <c r="DF23" s="108"/>
      <c r="DG23" s="108"/>
      <c r="DH23" s="108"/>
      <c r="DI23" s="108"/>
      <c r="DJ23" s="108"/>
      <c r="DK23" s="108"/>
      <c r="DL23" s="108"/>
      <c r="DM23" s="108"/>
      <c r="DN23" s="108"/>
      <c r="DO23" s="108"/>
      <c r="DP23" s="108"/>
      <c r="DQ23" s="108"/>
      <c r="DR23" s="108"/>
      <c r="DS23" s="108"/>
      <c r="DT23" s="108"/>
      <c r="DU23" s="108"/>
      <c r="DV23" s="108"/>
      <c r="DW23" s="108"/>
      <c r="DX23" s="108"/>
      <c r="DY23" s="108"/>
      <c r="DZ23" s="108"/>
      <c r="EA23" s="108"/>
      <c r="EB23" s="108"/>
      <c r="EC23" s="108"/>
      <c r="ED23" s="108"/>
      <c r="EE23" s="108"/>
      <c r="EF23" s="108"/>
      <c r="EG23" s="108"/>
      <c r="EH23" s="108"/>
      <c r="EI23" s="108"/>
      <c r="EJ23" s="108"/>
      <c r="EK23" s="108"/>
      <c r="EL23" s="108"/>
      <c r="EM23" s="108"/>
      <c r="EN23" s="108"/>
      <c r="EO23" s="108"/>
      <c r="EP23" s="108"/>
      <c r="EQ23" s="108"/>
      <c r="ER23" s="108"/>
      <c r="ES23" s="108"/>
      <c r="ET23" s="108"/>
      <c r="EU23" s="108"/>
      <c r="EV23" s="108"/>
      <c r="EW23" s="108"/>
      <c r="EX23" s="108"/>
      <c r="EY23" s="108"/>
      <c r="EZ23" s="108"/>
      <c r="FA23" s="108"/>
      <c r="FB23" s="108"/>
      <c r="FC23" s="108"/>
      <c r="FD23" s="108"/>
      <c r="FE23" s="108"/>
      <c r="FF23" s="108"/>
      <c r="FG23" s="108"/>
      <c r="FH23" s="108"/>
      <c r="FI23" s="108"/>
      <c r="FJ23" s="108"/>
      <c r="FK23" s="108"/>
      <c r="FL23" s="108"/>
      <c r="FM23" s="108"/>
      <c r="FN23" s="108"/>
      <c r="FO23" s="108"/>
      <c r="FP23" s="108"/>
      <c r="FQ23" s="108"/>
      <c r="FR23" s="108"/>
      <c r="FS23" s="108"/>
      <c r="FT23" s="108"/>
      <c r="FU23" s="108"/>
      <c r="FV23" s="108"/>
      <c r="FW23" s="108"/>
      <c r="FX23" s="108"/>
      <c r="FY23" s="108"/>
      <c r="FZ23" s="108"/>
      <c r="GA23" s="108"/>
      <c r="GB23" s="108"/>
      <c r="GC23" s="108"/>
      <c r="GD23" s="108"/>
      <c r="GE23" s="108"/>
      <c r="GF23" s="108"/>
      <c r="GG23" s="108"/>
      <c r="GH23" s="108"/>
      <c r="GI23" s="108"/>
      <c r="GJ23" s="108"/>
      <c r="GK23" s="108"/>
      <c r="GL23" s="108"/>
      <c r="GM23" s="108"/>
      <c r="GN23" s="108"/>
      <c r="GO23" s="108"/>
      <c r="GP23" s="108"/>
      <c r="GQ23" s="108"/>
      <c r="GR23" s="108"/>
      <c r="GS23" s="108"/>
      <c r="GT23" s="108"/>
      <c r="GU23" s="108"/>
      <c r="GV23" s="108"/>
      <c r="GW23" s="108"/>
      <c r="GX23" s="108"/>
      <c r="GY23" s="108"/>
      <c r="GZ23" s="108"/>
      <c r="HA23" s="108"/>
      <c r="HB23" s="108"/>
      <c r="HC23" s="108"/>
      <c r="HD23" s="108"/>
      <c r="HE23" s="108"/>
      <c r="HF23" s="108"/>
      <c r="HG23" s="108"/>
      <c r="HH23" s="108"/>
      <c r="HI23" s="108"/>
      <c r="HJ23" s="108"/>
      <c r="HK23" s="108"/>
      <c r="HL23" s="108"/>
      <c r="HM23" s="108"/>
      <c r="HN23" s="108"/>
      <c r="HO23" s="108"/>
      <c r="HP23" s="108"/>
      <c r="HQ23" s="108"/>
      <c r="HR23" s="108"/>
      <c r="HS23" s="108"/>
      <c r="HT23" s="108"/>
      <c r="HU23" s="108"/>
      <c r="HV23" s="108"/>
      <c r="HW23" s="108"/>
      <c r="HX23" s="108"/>
      <c r="HY23" s="108"/>
      <c r="HZ23" s="108"/>
      <c r="IA23" s="108"/>
      <c r="IB23" s="108"/>
      <c r="IC23" s="108"/>
      <c r="ID23" s="108"/>
      <c r="IE23" s="108"/>
      <c r="IF23" s="108"/>
      <c r="IG23" s="108"/>
      <c r="IH23" s="108"/>
      <c r="II23" s="108"/>
      <c r="IJ23" s="108"/>
      <c r="IK23" s="108"/>
      <c r="IL23" s="108"/>
      <c r="IM23" s="108"/>
      <c r="IN23" s="108"/>
      <c r="IO23" s="108"/>
      <c r="IP23" s="108"/>
      <c r="IQ23" s="108"/>
      <c r="IR23" s="108"/>
      <c r="IS23" s="108"/>
      <c r="IT23" s="108"/>
      <c r="IU23" s="108"/>
      <c r="IV23" s="108"/>
    </row>
    <row r="24" spans="1:256" ht="8.1" customHeight="1" x14ac:dyDescent="0.35">
      <c r="A24" s="108"/>
      <c r="B24" s="107"/>
      <c r="C24" s="132"/>
      <c r="D24" s="509"/>
      <c r="E24" s="402"/>
      <c r="F24" s="593"/>
      <c r="G24" s="402"/>
      <c r="H24" s="108"/>
      <c r="I24" s="108"/>
      <c r="J24" s="108"/>
      <c r="K24" s="108"/>
      <c r="L24" s="108"/>
      <c r="M24" s="108"/>
      <c r="N24" s="108"/>
      <c r="O24" s="108"/>
      <c r="P24" s="108"/>
      <c r="Q24" s="108"/>
      <c r="R24" s="108"/>
      <c r="S24" s="108"/>
      <c r="T24" s="108"/>
      <c r="U24" s="108"/>
      <c r="V24" s="108"/>
      <c r="W24" s="108"/>
      <c r="X24" s="108"/>
      <c r="Y24" s="108"/>
      <c r="Z24" s="108"/>
      <c r="AA24" s="108"/>
      <c r="AB24" s="108"/>
      <c r="AC24" s="108"/>
      <c r="AD24" s="108"/>
      <c r="AE24" s="108"/>
      <c r="AF24" s="108"/>
      <c r="AG24" s="108"/>
      <c r="AH24" s="108"/>
      <c r="AI24" s="108"/>
      <c r="AJ24" s="108"/>
      <c r="AK24" s="108"/>
      <c r="AL24" s="108"/>
      <c r="AM24" s="108"/>
      <c r="AN24" s="108"/>
      <c r="AO24" s="108"/>
      <c r="AP24" s="108"/>
      <c r="AQ24" s="108"/>
      <c r="AR24" s="108"/>
      <c r="AS24" s="108"/>
      <c r="AT24" s="108"/>
      <c r="AU24" s="108"/>
      <c r="AV24" s="108"/>
      <c r="AW24" s="108"/>
      <c r="AX24" s="108"/>
      <c r="AY24" s="108"/>
      <c r="AZ24" s="108"/>
      <c r="BA24" s="108"/>
      <c r="BB24" s="108"/>
      <c r="BC24" s="108"/>
      <c r="BD24" s="108"/>
      <c r="BE24" s="108"/>
      <c r="BF24" s="108"/>
      <c r="BG24" s="108"/>
      <c r="BH24" s="108"/>
      <c r="BI24" s="108"/>
      <c r="BJ24" s="108"/>
      <c r="BK24" s="108"/>
      <c r="BL24" s="108"/>
      <c r="BM24" s="108"/>
      <c r="BN24" s="108"/>
      <c r="BO24" s="108"/>
      <c r="BP24" s="108"/>
      <c r="BQ24" s="108"/>
      <c r="BR24" s="108"/>
      <c r="BS24" s="108"/>
      <c r="BT24" s="108"/>
      <c r="BU24" s="108"/>
      <c r="BV24" s="108"/>
      <c r="BW24" s="108"/>
      <c r="BX24" s="108"/>
      <c r="BY24" s="108"/>
      <c r="BZ24" s="108"/>
      <c r="CA24" s="108"/>
      <c r="CB24" s="108"/>
      <c r="CC24" s="108"/>
      <c r="CD24" s="108"/>
      <c r="CE24" s="108"/>
      <c r="CF24" s="108"/>
      <c r="CG24" s="108"/>
      <c r="CH24" s="108"/>
      <c r="CI24" s="108"/>
      <c r="CJ24" s="108"/>
      <c r="CK24" s="108"/>
      <c r="CL24" s="108"/>
      <c r="CM24" s="108"/>
      <c r="CN24" s="108"/>
      <c r="CO24" s="108"/>
      <c r="CP24" s="108"/>
      <c r="CQ24" s="108"/>
      <c r="CR24" s="108"/>
      <c r="CS24" s="108"/>
      <c r="CT24" s="108"/>
      <c r="CU24" s="108"/>
      <c r="CV24" s="108"/>
      <c r="CW24" s="108"/>
      <c r="CX24" s="108"/>
      <c r="CY24" s="108"/>
      <c r="CZ24" s="108"/>
      <c r="DA24" s="108"/>
      <c r="DB24" s="108"/>
      <c r="DC24" s="108"/>
      <c r="DD24" s="108"/>
      <c r="DE24" s="108"/>
      <c r="DF24" s="108"/>
      <c r="DG24" s="108"/>
      <c r="DH24" s="108"/>
      <c r="DI24" s="108"/>
      <c r="DJ24" s="108"/>
      <c r="DK24" s="108"/>
      <c r="DL24" s="108"/>
      <c r="DM24" s="108"/>
      <c r="DN24" s="108"/>
      <c r="DO24" s="108"/>
      <c r="DP24" s="108"/>
      <c r="DQ24" s="108"/>
      <c r="DR24" s="108"/>
      <c r="DS24" s="108"/>
      <c r="DT24" s="108"/>
      <c r="DU24" s="108"/>
      <c r="DV24" s="108"/>
      <c r="DW24" s="108"/>
      <c r="DX24" s="108"/>
      <c r="DY24" s="108"/>
      <c r="DZ24" s="108"/>
      <c r="EA24" s="108"/>
      <c r="EB24" s="108"/>
      <c r="EC24" s="108"/>
      <c r="ED24" s="108"/>
      <c r="EE24" s="108"/>
      <c r="EF24" s="108"/>
      <c r="EG24" s="108"/>
      <c r="EH24" s="108"/>
      <c r="EI24" s="108"/>
      <c r="EJ24" s="108"/>
      <c r="EK24" s="108"/>
      <c r="EL24" s="108"/>
      <c r="EM24" s="108"/>
      <c r="EN24" s="108"/>
      <c r="EO24" s="108"/>
      <c r="EP24" s="108"/>
      <c r="EQ24" s="108"/>
      <c r="ER24" s="108"/>
      <c r="ES24" s="108"/>
      <c r="ET24" s="108"/>
      <c r="EU24" s="108"/>
      <c r="EV24" s="108"/>
      <c r="EW24" s="108"/>
      <c r="EX24" s="108"/>
      <c r="EY24" s="108"/>
      <c r="EZ24" s="108"/>
      <c r="FA24" s="108"/>
      <c r="FB24" s="108"/>
      <c r="FC24" s="108"/>
      <c r="FD24" s="108"/>
      <c r="FE24" s="108"/>
      <c r="FF24" s="108"/>
      <c r="FG24" s="108"/>
      <c r="FH24" s="108"/>
      <c r="FI24" s="108"/>
      <c r="FJ24" s="108"/>
      <c r="FK24" s="108"/>
      <c r="FL24" s="108"/>
      <c r="FM24" s="108"/>
      <c r="FN24" s="108"/>
      <c r="FO24" s="108"/>
      <c r="FP24" s="108"/>
      <c r="FQ24" s="108"/>
      <c r="FR24" s="108"/>
      <c r="FS24" s="108"/>
      <c r="FT24" s="108"/>
      <c r="FU24" s="108"/>
      <c r="FV24" s="108"/>
      <c r="FW24" s="108"/>
      <c r="FX24" s="108"/>
      <c r="FY24" s="108"/>
      <c r="FZ24" s="108"/>
      <c r="GA24" s="108"/>
      <c r="GB24" s="108"/>
      <c r="GC24" s="108"/>
      <c r="GD24" s="108"/>
      <c r="GE24" s="108"/>
      <c r="GF24" s="108"/>
      <c r="GG24" s="108"/>
      <c r="GH24" s="108"/>
      <c r="GI24" s="108"/>
      <c r="GJ24" s="108"/>
      <c r="GK24" s="108"/>
      <c r="GL24" s="108"/>
      <c r="GM24" s="108"/>
      <c r="GN24" s="108"/>
      <c r="GO24" s="108"/>
      <c r="GP24" s="108"/>
      <c r="GQ24" s="108"/>
      <c r="GR24" s="108"/>
      <c r="GS24" s="108"/>
      <c r="GT24" s="108"/>
      <c r="GU24" s="108"/>
      <c r="GV24" s="108"/>
      <c r="GW24" s="108"/>
      <c r="GX24" s="108"/>
      <c r="GY24" s="108"/>
      <c r="GZ24" s="108"/>
      <c r="HA24" s="108"/>
      <c r="HB24" s="108"/>
      <c r="HC24" s="108"/>
      <c r="HD24" s="108"/>
      <c r="HE24" s="108"/>
      <c r="HF24" s="108"/>
      <c r="HG24" s="108"/>
      <c r="HH24" s="108"/>
      <c r="HI24" s="108"/>
      <c r="HJ24" s="108"/>
      <c r="HK24" s="108"/>
      <c r="HL24" s="108"/>
      <c r="HM24" s="108"/>
      <c r="HN24" s="108"/>
      <c r="HO24" s="108"/>
      <c r="HP24" s="108"/>
      <c r="HQ24" s="108"/>
      <c r="HR24" s="108"/>
      <c r="HS24" s="108"/>
      <c r="HT24" s="108"/>
      <c r="HU24" s="108"/>
      <c r="HV24" s="108"/>
      <c r="HW24" s="108"/>
      <c r="HX24" s="108"/>
      <c r="HY24" s="108"/>
      <c r="HZ24" s="108"/>
      <c r="IA24" s="108"/>
      <c r="IB24" s="108"/>
      <c r="IC24" s="108"/>
      <c r="ID24" s="108"/>
      <c r="IE24" s="108"/>
      <c r="IF24" s="108"/>
      <c r="IG24" s="108"/>
      <c r="IH24" s="108"/>
      <c r="II24" s="108"/>
      <c r="IJ24" s="108"/>
      <c r="IK24" s="108"/>
      <c r="IL24" s="108"/>
      <c r="IM24" s="108"/>
      <c r="IN24" s="108"/>
      <c r="IO24" s="108"/>
      <c r="IP24" s="108"/>
      <c r="IQ24" s="108"/>
      <c r="IR24" s="108"/>
      <c r="IS24" s="108"/>
      <c r="IT24" s="108"/>
      <c r="IU24" s="108"/>
      <c r="IV24" s="108"/>
    </row>
    <row r="25" spans="1:256" ht="15" customHeight="1" x14ac:dyDescent="0.25">
      <c r="A25" s="108"/>
      <c r="B25" s="107"/>
      <c r="C25" s="115"/>
      <c r="D25" s="509" t="s">
        <v>63</v>
      </c>
      <c r="E25" s="402" t="s">
        <v>182</v>
      </c>
      <c r="F25" s="509">
        <v>28</v>
      </c>
      <c r="G25" s="402" t="s">
        <v>191</v>
      </c>
      <c r="H25" s="108"/>
      <c r="I25" s="108"/>
      <c r="J25" s="108"/>
      <c r="K25" s="108"/>
      <c r="L25" s="108"/>
      <c r="M25" s="108"/>
      <c r="N25" s="108"/>
      <c r="O25" s="108"/>
      <c r="P25" s="108"/>
      <c r="Q25" s="108"/>
      <c r="R25" s="108"/>
      <c r="S25" s="108"/>
      <c r="T25" s="108"/>
      <c r="U25" s="108"/>
      <c r="V25" s="108"/>
      <c r="W25" s="108"/>
      <c r="X25" s="108"/>
      <c r="Y25" s="108"/>
      <c r="Z25" s="108"/>
      <c r="AA25" s="108"/>
      <c r="AB25" s="108"/>
      <c r="AC25" s="108"/>
      <c r="AD25" s="108"/>
      <c r="AE25" s="108"/>
      <c r="AF25" s="108"/>
      <c r="AG25" s="108"/>
      <c r="AH25" s="108"/>
      <c r="AI25" s="108"/>
      <c r="AJ25" s="108"/>
      <c r="AK25" s="108"/>
      <c r="AL25" s="108"/>
      <c r="AM25" s="108"/>
      <c r="AN25" s="108"/>
      <c r="AO25" s="108"/>
      <c r="AP25" s="108"/>
      <c r="AQ25" s="108"/>
      <c r="AR25" s="108"/>
      <c r="AS25" s="108"/>
      <c r="AT25" s="108"/>
      <c r="AU25" s="108"/>
      <c r="AV25" s="108"/>
      <c r="AW25" s="108"/>
      <c r="AX25" s="108"/>
      <c r="AY25" s="108"/>
      <c r="AZ25" s="108"/>
      <c r="BA25" s="108"/>
      <c r="BB25" s="108"/>
      <c r="BC25" s="108"/>
      <c r="BD25" s="108"/>
      <c r="BE25" s="108"/>
      <c r="BF25" s="108"/>
      <c r="BG25" s="108"/>
      <c r="BH25" s="108"/>
      <c r="BI25" s="108"/>
      <c r="BJ25" s="108"/>
      <c r="BK25" s="108"/>
      <c r="BL25" s="108"/>
      <c r="BM25" s="108"/>
      <c r="BN25" s="108"/>
      <c r="BO25" s="108"/>
      <c r="BP25" s="108"/>
      <c r="BQ25" s="108"/>
      <c r="BR25" s="108"/>
      <c r="BS25" s="108"/>
      <c r="BT25" s="108"/>
      <c r="BU25" s="108"/>
      <c r="BV25" s="108"/>
      <c r="BW25" s="108"/>
      <c r="BX25" s="108"/>
      <c r="BY25" s="108"/>
      <c r="BZ25" s="108"/>
      <c r="CA25" s="108"/>
      <c r="CB25" s="108"/>
      <c r="CC25" s="108"/>
      <c r="CD25" s="108"/>
      <c r="CE25" s="108"/>
      <c r="CF25" s="108"/>
      <c r="CG25" s="108"/>
      <c r="CH25" s="108"/>
      <c r="CI25" s="108"/>
      <c r="CJ25" s="108"/>
      <c r="CK25" s="108"/>
      <c r="CL25" s="108"/>
      <c r="CM25" s="108"/>
      <c r="CN25" s="108"/>
      <c r="CO25" s="108"/>
      <c r="CP25" s="108"/>
      <c r="CQ25" s="108"/>
      <c r="CR25" s="108"/>
      <c r="CS25" s="108"/>
      <c r="CT25" s="108"/>
      <c r="CU25" s="108"/>
      <c r="CV25" s="108"/>
      <c r="CW25" s="108"/>
      <c r="CX25" s="108"/>
      <c r="CY25" s="108"/>
      <c r="CZ25" s="108"/>
      <c r="DA25" s="108"/>
      <c r="DB25" s="108"/>
      <c r="DC25" s="108"/>
      <c r="DD25" s="108"/>
      <c r="DE25" s="108"/>
      <c r="DF25" s="108"/>
      <c r="DG25" s="108"/>
      <c r="DH25" s="108"/>
      <c r="DI25" s="108"/>
      <c r="DJ25" s="108"/>
      <c r="DK25" s="108"/>
      <c r="DL25" s="108"/>
      <c r="DM25" s="108"/>
      <c r="DN25" s="108"/>
      <c r="DO25" s="108"/>
      <c r="DP25" s="108"/>
      <c r="DQ25" s="108"/>
      <c r="DR25" s="108"/>
      <c r="DS25" s="108"/>
      <c r="DT25" s="108"/>
      <c r="DU25" s="108"/>
      <c r="DV25" s="108"/>
      <c r="DW25" s="108"/>
      <c r="DX25" s="108"/>
      <c r="DY25" s="108"/>
      <c r="DZ25" s="108"/>
      <c r="EA25" s="108"/>
      <c r="EB25" s="108"/>
      <c r="EC25" s="108"/>
      <c r="ED25" s="108"/>
      <c r="EE25" s="108"/>
      <c r="EF25" s="108"/>
      <c r="EG25" s="108"/>
      <c r="EH25" s="108"/>
      <c r="EI25" s="108"/>
      <c r="EJ25" s="108"/>
      <c r="EK25" s="108"/>
      <c r="EL25" s="108"/>
      <c r="EM25" s="108"/>
      <c r="EN25" s="108"/>
      <c r="EO25" s="108"/>
      <c r="EP25" s="108"/>
      <c r="EQ25" s="108"/>
      <c r="ER25" s="108"/>
      <c r="ES25" s="108"/>
      <c r="ET25" s="108"/>
      <c r="EU25" s="108"/>
      <c r="EV25" s="108"/>
      <c r="EW25" s="108"/>
      <c r="EX25" s="108"/>
      <c r="EY25" s="108"/>
      <c r="EZ25" s="108"/>
      <c r="FA25" s="108"/>
      <c r="FB25" s="108"/>
      <c r="FC25" s="108"/>
      <c r="FD25" s="108"/>
      <c r="FE25" s="108"/>
      <c r="FF25" s="108"/>
      <c r="FG25" s="108"/>
      <c r="FH25" s="108"/>
      <c r="FI25" s="108"/>
      <c r="FJ25" s="108"/>
      <c r="FK25" s="108"/>
      <c r="FL25" s="108"/>
      <c r="FM25" s="108"/>
      <c r="FN25" s="108"/>
      <c r="FO25" s="108"/>
      <c r="FP25" s="108"/>
      <c r="FQ25" s="108"/>
      <c r="FR25" s="108"/>
      <c r="FS25" s="108"/>
      <c r="FT25" s="108"/>
      <c r="FU25" s="108"/>
      <c r="FV25" s="108"/>
      <c r="FW25" s="108"/>
      <c r="FX25" s="108"/>
      <c r="FY25" s="108"/>
      <c r="FZ25" s="108"/>
      <c r="GA25" s="108"/>
      <c r="GB25" s="108"/>
      <c r="GC25" s="108"/>
      <c r="GD25" s="108"/>
      <c r="GE25" s="108"/>
      <c r="GF25" s="108"/>
      <c r="GG25" s="108"/>
      <c r="GH25" s="108"/>
      <c r="GI25" s="108"/>
      <c r="GJ25" s="108"/>
      <c r="GK25" s="108"/>
      <c r="GL25" s="108"/>
      <c r="GM25" s="108"/>
      <c r="GN25" s="108"/>
      <c r="GO25" s="108"/>
      <c r="GP25" s="108"/>
      <c r="GQ25" s="108"/>
      <c r="GR25" s="108"/>
      <c r="GS25" s="108"/>
      <c r="GT25" s="108"/>
      <c r="GU25" s="108"/>
      <c r="GV25" s="108"/>
      <c r="GW25" s="108"/>
      <c r="GX25" s="108"/>
      <c r="GY25" s="108"/>
      <c r="GZ25" s="108"/>
      <c r="HA25" s="108"/>
      <c r="HB25" s="108"/>
      <c r="HC25" s="108"/>
      <c r="HD25" s="108"/>
      <c r="HE25" s="108"/>
      <c r="HF25" s="108"/>
      <c r="HG25" s="108"/>
      <c r="HH25" s="108"/>
      <c r="HI25" s="108"/>
      <c r="HJ25" s="108"/>
      <c r="HK25" s="108"/>
      <c r="HL25" s="108"/>
      <c r="HM25" s="108"/>
      <c r="HN25" s="108"/>
      <c r="HO25" s="108"/>
      <c r="HP25" s="108"/>
      <c r="HQ25" s="108"/>
      <c r="HR25" s="108"/>
      <c r="HS25" s="108"/>
      <c r="HT25" s="108"/>
      <c r="HU25" s="108"/>
      <c r="HV25" s="108"/>
      <c r="HW25" s="108"/>
      <c r="HX25" s="108"/>
      <c r="HY25" s="108"/>
      <c r="HZ25" s="108"/>
      <c r="IA25" s="108"/>
      <c r="IB25" s="108"/>
      <c r="IC25" s="108"/>
      <c r="ID25" s="108"/>
      <c r="IE25" s="108"/>
      <c r="IF25" s="108"/>
      <c r="IG25" s="108"/>
      <c r="IH25" s="108"/>
      <c r="II25" s="108"/>
      <c r="IJ25" s="108"/>
      <c r="IK25" s="108"/>
      <c r="IL25" s="108"/>
      <c r="IM25" s="108"/>
      <c r="IN25" s="108"/>
      <c r="IO25" s="108"/>
      <c r="IP25" s="108"/>
      <c r="IQ25" s="108"/>
      <c r="IR25" s="108"/>
      <c r="IS25" s="108"/>
      <c r="IT25" s="108"/>
      <c r="IU25" s="108"/>
      <c r="IV25" s="108"/>
    </row>
    <row r="26" spans="1:256" ht="8.1" customHeight="1" x14ac:dyDescent="0.35">
      <c r="A26" s="108"/>
      <c r="B26" s="107"/>
      <c r="C26" s="132"/>
      <c r="D26" s="509"/>
      <c r="E26" s="402"/>
      <c r="F26" s="593"/>
      <c r="G26" s="402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  <c r="BM26" s="108"/>
      <c r="BN26" s="108"/>
      <c r="BO26" s="108"/>
      <c r="BP26" s="108"/>
      <c r="BQ26" s="108"/>
      <c r="BR26" s="108"/>
      <c r="BS26" s="108"/>
      <c r="BT26" s="108"/>
      <c r="BU26" s="108"/>
      <c r="BV26" s="108"/>
      <c r="BW26" s="108"/>
      <c r="BX26" s="108"/>
      <c r="BY26" s="108"/>
      <c r="BZ26" s="108"/>
      <c r="CA26" s="108"/>
      <c r="CB26" s="108"/>
      <c r="CC26" s="108"/>
      <c r="CD26" s="108"/>
      <c r="CE26" s="108"/>
      <c r="CF26" s="108"/>
      <c r="CG26" s="108"/>
      <c r="CH26" s="108"/>
      <c r="CI26" s="108"/>
      <c r="CJ26" s="108"/>
      <c r="CK26" s="108"/>
      <c r="CL26" s="108"/>
      <c r="CM26" s="108"/>
      <c r="CN26" s="108"/>
      <c r="CO26" s="108"/>
      <c r="CP26" s="108"/>
      <c r="CQ26" s="108"/>
      <c r="CR26" s="108"/>
      <c r="CS26" s="108"/>
      <c r="CT26" s="108"/>
      <c r="CU26" s="108"/>
      <c r="CV26" s="108"/>
      <c r="CW26" s="108"/>
      <c r="CX26" s="108"/>
      <c r="CY26" s="108"/>
      <c r="CZ26" s="108"/>
      <c r="DA26" s="108"/>
      <c r="DB26" s="108"/>
      <c r="DC26" s="108"/>
      <c r="DD26" s="108"/>
      <c r="DE26" s="108"/>
      <c r="DF26" s="108"/>
      <c r="DG26" s="108"/>
      <c r="DH26" s="108"/>
      <c r="DI26" s="108"/>
      <c r="DJ26" s="108"/>
      <c r="DK26" s="108"/>
      <c r="DL26" s="108"/>
      <c r="DM26" s="108"/>
      <c r="DN26" s="108"/>
      <c r="DO26" s="108"/>
      <c r="DP26" s="108"/>
      <c r="DQ26" s="108"/>
      <c r="DR26" s="108"/>
      <c r="DS26" s="108"/>
      <c r="DT26" s="108"/>
      <c r="DU26" s="108"/>
      <c r="DV26" s="108"/>
      <c r="DW26" s="108"/>
      <c r="DX26" s="108"/>
      <c r="DY26" s="108"/>
      <c r="DZ26" s="108"/>
      <c r="EA26" s="108"/>
      <c r="EB26" s="108"/>
      <c r="EC26" s="108"/>
      <c r="ED26" s="108"/>
      <c r="EE26" s="108"/>
      <c r="EF26" s="108"/>
      <c r="EG26" s="108"/>
      <c r="EH26" s="108"/>
      <c r="EI26" s="108"/>
      <c r="EJ26" s="108"/>
      <c r="EK26" s="108"/>
      <c r="EL26" s="108"/>
      <c r="EM26" s="108"/>
      <c r="EN26" s="108"/>
      <c r="EO26" s="108"/>
      <c r="EP26" s="108"/>
      <c r="EQ26" s="108"/>
      <c r="ER26" s="108"/>
      <c r="ES26" s="108"/>
      <c r="ET26" s="108"/>
      <c r="EU26" s="108"/>
      <c r="EV26" s="108"/>
      <c r="EW26" s="108"/>
      <c r="EX26" s="108"/>
      <c r="EY26" s="108"/>
      <c r="EZ26" s="108"/>
      <c r="FA26" s="108"/>
      <c r="FB26" s="108"/>
      <c r="FC26" s="108"/>
      <c r="FD26" s="108"/>
      <c r="FE26" s="108"/>
      <c r="FF26" s="108"/>
      <c r="FG26" s="108"/>
      <c r="FH26" s="108"/>
      <c r="FI26" s="108"/>
      <c r="FJ26" s="108"/>
      <c r="FK26" s="108"/>
      <c r="FL26" s="108"/>
      <c r="FM26" s="108"/>
      <c r="FN26" s="108"/>
      <c r="FO26" s="108"/>
      <c r="FP26" s="108"/>
      <c r="FQ26" s="108"/>
      <c r="FR26" s="108"/>
      <c r="FS26" s="108"/>
      <c r="FT26" s="108"/>
      <c r="FU26" s="108"/>
      <c r="FV26" s="108"/>
      <c r="FW26" s="108"/>
      <c r="FX26" s="108"/>
      <c r="FY26" s="108"/>
      <c r="FZ26" s="108"/>
      <c r="GA26" s="108"/>
      <c r="GB26" s="108"/>
      <c r="GC26" s="108"/>
      <c r="GD26" s="108"/>
      <c r="GE26" s="108"/>
      <c r="GF26" s="108"/>
      <c r="GG26" s="108"/>
      <c r="GH26" s="108"/>
      <c r="GI26" s="108"/>
      <c r="GJ26" s="108"/>
      <c r="GK26" s="108"/>
      <c r="GL26" s="108"/>
      <c r="GM26" s="108"/>
      <c r="GN26" s="108"/>
      <c r="GO26" s="108"/>
      <c r="GP26" s="108"/>
      <c r="GQ26" s="108"/>
      <c r="GR26" s="108"/>
      <c r="GS26" s="108"/>
      <c r="GT26" s="108"/>
      <c r="GU26" s="108"/>
      <c r="GV26" s="108"/>
      <c r="GW26" s="108"/>
      <c r="GX26" s="108"/>
      <c r="GY26" s="108"/>
      <c r="GZ26" s="108"/>
      <c r="HA26" s="108"/>
      <c r="HB26" s="108"/>
      <c r="HC26" s="108"/>
      <c r="HD26" s="108"/>
      <c r="HE26" s="108"/>
      <c r="HF26" s="108"/>
      <c r="HG26" s="108"/>
      <c r="HH26" s="108"/>
      <c r="HI26" s="108"/>
      <c r="HJ26" s="108"/>
      <c r="HK26" s="108"/>
      <c r="HL26" s="108"/>
      <c r="HM26" s="108"/>
      <c r="HN26" s="108"/>
      <c r="HO26" s="108"/>
      <c r="HP26" s="108"/>
      <c r="HQ26" s="108"/>
      <c r="HR26" s="108"/>
      <c r="HS26" s="108"/>
      <c r="HT26" s="108"/>
      <c r="HU26" s="108"/>
      <c r="HV26" s="108"/>
      <c r="HW26" s="108"/>
      <c r="HX26" s="108"/>
      <c r="HY26" s="108"/>
      <c r="HZ26" s="108"/>
      <c r="IA26" s="108"/>
      <c r="IB26" s="108"/>
      <c r="IC26" s="108"/>
      <c r="ID26" s="108"/>
      <c r="IE26" s="108"/>
      <c r="IF26" s="108"/>
      <c r="IG26" s="108"/>
      <c r="IH26" s="108"/>
      <c r="II26" s="108"/>
      <c r="IJ26" s="108"/>
      <c r="IK26" s="108"/>
      <c r="IL26" s="108"/>
      <c r="IM26" s="108"/>
      <c r="IN26" s="108"/>
      <c r="IO26" s="108"/>
      <c r="IP26" s="108"/>
      <c r="IQ26" s="108"/>
      <c r="IR26" s="108"/>
      <c r="IS26" s="108"/>
      <c r="IT26" s="108"/>
      <c r="IU26" s="108"/>
      <c r="IV26" s="108"/>
    </row>
    <row r="27" spans="1:256" ht="15" customHeight="1" x14ac:dyDescent="0.25">
      <c r="A27" s="108"/>
      <c r="B27" s="107"/>
      <c r="C27" s="115"/>
      <c r="D27" s="509" t="s">
        <v>64</v>
      </c>
      <c r="E27" s="402" t="s">
        <v>183</v>
      </c>
      <c r="F27" s="509">
        <v>29</v>
      </c>
      <c r="G27" s="402" t="s">
        <v>649</v>
      </c>
      <c r="H27" s="108"/>
      <c r="I27" s="108"/>
      <c r="J27" s="108"/>
      <c r="K27" s="699"/>
      <c r="L27" s="108"/>
      <c r="M27" s="108"/>
      <c r="N27" s="108"/>
      <c r="O27" s="108"/>
      <c r="P27" s="108"/>
      <c r="Q27" s="108"/>
      <c r="R27" s="108"/>
      <c r="S27" s="108"/>
      <c r="T27" s="108"/>
      <c r="U27" s="108"/>
      <c r="V27" s="108"/>
      <c r="W27" s="108"/>
      <c r="X27" s="108"/>
      <c r="Y27" s="108"/>
      <c r="Z27" s="108"/>
      <c r="AA27" s="108"/>
      <c r="AB27" s="108"/>
      <c r="AC27" s="108"/>
      <c r="AD27" s="108"/>
      <c r="AE27" s="108"/>
      <c r="AF27" s="108"/>
      <c r="AG27" s="108"/>
      <c r="AH27" s="108"/>
      <c r="AI27" s="108"/>
      <c r="AJ27" s="108"/>
      <c r="AK27" s="108"/>
      <c r="AL27" s="108"/>
      <c r="AM27" s="108"/>
      <c r="AN27" s="108"/>
      <c r="AO27" s="108"/>
      <c r="AP27" s="108"/>
      <c r="AQ27" s="108"/>
      <c r="AR27" s="108"/>
      <c r="AS27" s="108"/>
      <c r="AT27" s="108"/>
      <c r="AU27" s="108"/>
      <c r="AV27" s="108"/>
      <c r="AW27" s="108"/>
      <c r="AX27" s="108"/>
      <c r="AY27" s="108"/>
      <c r="AZ27" s="108"/>
      <c r="BA27" s="108"/>
      <c r="BB27" s="108"/>
      <c r="BC27" s="108"/>
      <c r="BD27" s="108"/>
      <c r="BE27" s="108"/>
      <c r="BF27" s="108"/>
      <c r="BG27" s="108"/>
      <c r="BH27" s="108"/>
      <c r="BI27" s="108"/>
      <c r="BJ27" s="108"/>
      <c r="BK27" s="108"/>
      <c r="BL27" s="108"/>
      <c r="BM27" s="108"/>
      <c r="BN27" s="108"/>
      <c r="BO27" s="108"/>
      <c r="BP27" s="108"/>
      <c r="BQ27" s="108"/>
      <c r="BR27" s="108"/>
      <c r="BS27" s="108"/>
      <c r="BT27" s="108"/>
      <c r="BU27" s="108"/>
      <c r="BV27" s="108"/>
      <c r="BW27" s="108"/>
      <c r="BX27" s="108"/>
      <c r="BY27" s="108"/>
      <c r="BZ27" s="108"/>
      <c r="CA27" s="108"/>
      <c r="CB27" s="108"/>
      <c r="CC27" s="108"/>
      <c r="CD27" s="108"/>
      <c r="CE27" s="108"/>
      <c r="CF27" s="108"/>
      <c r="CG27" s="108"/>
      <c r="CH27" s="108"/>
      <c r="CI27" s="108"/>
      <c r="CJ27" s="108"/>
      <c r="CK27" s="108"/>
      <c r="CL27" s="108"/>
      <c r="CM27" s="108"/>
      <c r="CN27" s="108"/>
      <c r="CO27" s="108"/>
      <c r="CP27" s="108"/>
      <c r="CQ27" s="108"/>
      <c r="CR27" s="108"/>
      <c r="CS27" s="108"/>
      <c r="CT27" s="108"/>
      <c r="CU27" s="108"/>
      <c r="CV27" s="108"/>
      <c r="CW27" s="108"/>
      <c r="CX27" s="108"/>
      <c r="CY27" s="108"/>
      <c r="CZ27" s="108"/>
      <c r="DA27" s="108"/>
      <c r="DB27" s="108"/>
      <c r="DC27" s="108"/>
      <c r="DD27" s="108"/>
      <c r="DE27" s="108"/>
      <c r="DF27" s="108"/>
      <c r="DG27" s="108"/>
      <c r="DH27" s="108"/>
      <c r="DI27" s="108"/>
      <c r="DJ27" s="108"/>
      <c r="DK27" s="108"/>
      <c r="DL27" s="108"/>
      <c r="DM27" s="108"/>
      <c r="DN27" s="108"/>
      <c r="DO27" s="108"/>
      <c r="DP27" s="108"/>
      <c r="DQ27" s="108"/>
      <c r="DR27" s="108"/>
      <c r="DS27" s="108"/>
      <c r="DT27" s="108"/>
      <c r="DU27" s="108"/>
      <c r="DV27" s="108"/>
      <c r="DW27" s="108"/>
      <c r="DX27" s="108"/>
      <c r="DY27" s="108"/>
      <c r="DZ27" s="108"/>
      <c r="EA27" s="108"/>
      <c r="EB27" s="108"/>
      <c r="EC27" s="108"/>
      <c r="ED27" s="108"/>
      <c r="EE27" s="108"/>
      <c r="EF27" s="108"/>
      <c r="EG27" s="108"/>
      <c r="EH27" s="108"/>
      <c r="EI27" s="108"/>
      <c r="EJ27" s="108"/>
      <c r="EK27" s="108"/>
      <c r="EL27" s="108"/>
      <c r="EM27" s="108"/>
      <c r="EN27" s="108"/>
      <c r="EO27" s="108"/>
      <c r="EP27" s="108"/>
      <c r="EQ27" s="108"/>
      <c r="ER27" s="108"/>
      <c r="ES27" s="108"/>
      <c r="ET27" s="108"/>
      <c r="EU27" s="108"/>
      <c r="EV27" s="108"/>
      <c r="EW27" s="108"/>
      <c r="EX27" s="108"/>
      <c r="EY27" s="108"/>
      <c r="EZ27" s="108"/>
      <c r="FA27" s="108"/>
      <c r="FB27" s="108"/>
      <c r="FC27" s="108"/>
      <c r="FD27" s="108"/>
      <c r="FE27" s="108"/>
      <c r="FF27" s="108"/>
      <c r="FG27" s="108"/>
      <c r="FH27" s="108"/>
      <c r="FI27" s="108"/>
      <c r="FJ27" s="108"/>
      <c r="FK27" s="108"/>
      <c r="FL27" s="108"/>
      <c r="FM27" s="108"/>
      <c r="FN27" s="108"/>
      <c r="FO27" s="108"/>
      <c r="FP27" s="108"/>
      <c r="FQ27" s="108"/>
      <c r="FR27" s="108"/>
      <c r="FS27" s="108"/>
      <c r="FT27" s="108"/>
      <c r="FU27" s="108"/>
      <c r="FV27" s="108"/>
      <c r="FW27" s="108"/>
      <c r="FX27" s="108"/>
      <c r="FY27" s="108"/>
      <c r="FZ27" s="108"/>
      <c r="GA27" s="108"/>
      <c r="GB27" s="108"/>
      <c r="GC27" s="108"/>
      <c r="GD27" s="108"/>
      <c r="GE27" s="108"/>
      <c r="GF27" s="108"/>
      <c r="GG27" s="108"/>
      <c r="GH27" s="108"/>
      <c r="GI27" s="108"/>
      <c r="GJ27" s="108"/>
      <c r="GK27" s="108"/>
      <c r="GL27" s="108"/>
      <c r="GM27" s="108"/>
      <c r="GN27" s="108"/>
      <c r="GO27" s="108"/>
      <c r="GP27" s="108"/>
      <c r="GQ27" s="108"/>
      <c r="GR27" s="108"/>
      <c r="GS27" s="108"/>
      <c r="GT27" s="108"/>
      <c r="GU27" s="108"/>
      <c r="GV27" s="108"/>
      <c r="GW27" s="108"/>
      <c r="GX27" s="108"/>
      <c r="GY27" s="108"/>
      <c r="GZ27" s="108"/>
      <c r="HA27" s="108"/>
      <c r="HB27" s="108"/>
      <c r="HC27" s="108"/>
      <c r="HD27" s="108"/>
      <c r="HE27" s="108"/>
      <c r="HF27" s="108"/>
      <c r="HG27" s="108"/>
      <c r="HH27" s="108"/>
      <c r="HI27" s="108"/>
      <c r="HJ27" s="108"/>
      <c r="HK27" s="108"/>
      <c r="HL27" s="108"/>
      <c r="HM27" s="108"/>
      <c r="HN27" s="108"/>
      <c r="HO27" s="108"/>
      <c r="HP27" s="108"/>
      <c r="HQ27" s="108"/>
      <c r="HR27" s="108"/>
      <c r="HS27" s="108"/>
      <c r="HT27" s="108"/>
      <c r="HU27" s="108"/>
      <c r="HV27" s="108"/>
      <c r="HW27" s="108"/>
      <c r="HX27" s="108"/>
      <c r="HY27" s="108"/>
      <c r="HZ27" s="108"/>
      <c r="IA27" s="108"/>
      <c r="IB27" s="108"/>
      <c r="IC27" s="108"/>
      <c r="ID27" s="108"/>
      <c r="IE27" s="108"/>
      <c r="IF27" s="108"/>
      <c r="IG27" s="108"/>
      <c r="IH27" s="108"/>
      <c r="II27" s="108"/>
      <c r="IJ27" s="108"/>
      <c r="IK27" s="108"/>
      <c r="IL27" s="108"/>
      <c r="IM27" s="108"/>
      <c r="IN27" s="108"/>
      <c r="IO27" s="108"/>
      <c r="IP27" s="108"/>
      <c r="IQ27" s="108"/>
      <c r="IR27" s="108"/>
      <c r="IS27" s="108"/>
      <c r="IT27" s="108"/>
      <c r="IU27" s="108"/>
      <c r="IV27" s="108"/>
    </row>
    <row r="28" spans="1:256" ht="8.1" customHeight="1" x14ac:dyDescent="0.35">
      <c r="A28" s="108"/>
      <c r="B28" s="107"/>
      <c r="C28" s="132"/>
      <c r="D28" s="509"/>
      <c r="E28" s="402"/>
      <c r="F28" s="593"/>
      <c r="G28" s="402"/>
      <c r="H28" s="108"/>
      <c r="I28" s="108"/>
      <c r="J28" s="108"/>
      <c r="K28" s="108"/>
      <c r="L28" s="108"/>
      <c r="M28" s="108"/>
      <c r="N28" s="108"/>
      <c r="O28" s="108"/>
      <c r="P28" s="108"/>
      <c r="Q28" s="108"/>
      <c r="R28" s="108"/>
      <c r="S28" s="108"/>
      <c r="T28" s="108"/>
      <c r="U28" s="108"/>
      <c r="V28" s="108"/>
      <c r="W28" s="108"/>
      <c r="X28" s="108"/>
      <c r="Y28" s="108"/>
      <c r="Z28" s="108"/>
      <c r="AA28" s="108"/>
      <c r="AB28" s="108"/>
      <c r="AC28" s="108"/>
      <c r="AD28" s="108"/>
      <c r="AE28" s="108"/>
      <c r="AF28" s="108"/>
      <c r="AG28" s="108"/>
      <c r="AH28" s="108"/>
      <c r="AI28" s="108"/>
      <c r="AJ28" s="108"/>
      <c r="AK28" s="108"/>
      <c r="AL28" s="108"/>
      <c r="AM28" s="108"/>
      <c r="AN28" s="108"/>
      <c r="AO28" s="108"/>
      <c r="AP28" s="108"/>
      <c r="AQ28" s="108"/>
      <c r="AR28" s="108"/>
      <c r="AS28" s="108"/>
      <c r="AT28" s="108"/>
      <c r="AU28" s="108"/>
      <c r="AV28" s="108"/>
      <c r="AW28" s="108"/>
      <c r="AX28" s="108"/>
      <c r="AY28" s="108"/>
      <c r="AZ28" s="108"/>
      <c r="BA28" s="108"/>
      <c r="BB28" s="108"/>
      <c r="BC28" s="108"/>
      <c r="BD28" s="108"/>
      <c r="BE28" s="108"/>
      <c r="BF28" s="108"/>
      <c r="BG28" s="108"/>
      <c r="BH28" s="108"/>
      <c r="BI28" s="108"/>
      <c r="BJ28" s="108"/>
      <c r="BK28" s="108"/>
      <c r="BL28" s="108"/>
      <c r="BM28" s="108"/>
      <c r="BN28" s="108"/>
      <c r="BO28" s="108"/>
      <c r="BP28" s="108"/>
      <c r="BQ28" s="108"/>
      <c r="BR28" s="108"/>
      <c r="BS28" s="108"/>
      <c r="BT28" s="108"/>
      <c r="BU28" s="108"/>
      <c r="BV28" s="108"/>
      <c r="BW28" s="108"/>
      <c r="BX28" s="108"/>
      <c r="BY28" s="108"/>
      <c r="BZ28" s="108"/>
      <c r="CA28" s="108"/>
      <c r="CB28" s="108"/>
      <c r="CC28" s="108"/>
      <c r="CD28" s="108"/>
      <c r="CE28" s="108"/>
      <c r="CF28" s="108"/>
      <c r="CG28" s="108"/>
      <c r="CH28" s="108"/>
      <c r="CI28" s="108"/>
      <c r="CJ28" s="108"/>
      <c r="CK28" s="108"/>
      <c r="CL28" s="108"/>
      <c r="CM28" s="108"/>
      <c r="CN28" s="108"/>
      <c r="CO28" s="108"/>
      <c r="CP28" s="108"/>
      <c r="CQ28" s="108"/>
      <c r="CR28" s="108"/>
      <c r="CS28" s="108"/>
      <c r="CT28" s="108"/>
      <c r="CU28" s="108"/>
      <c r="CV28" s="108"/>
      <c r="CW28" s="108"/>
      <c r="CX28" s="108"/>
      <c r="CY28" s="108"/>
      <c r="CZ28" s="108"/>
      <c r="DA28" s="108"/>
      <c r="DB28" s="108"/>
      <c r="DC28" s="108"/>
      <c r="DD28" s="108"/>
      <c r="DE28" s="108"/>
      <c r="DF28" s="108"/>
      <c r="DG28" s="108"/>
      <c r="DH28" s="108"/>
      <c r="DI28" s="108"/>
      <c r="DJ28" s="108"/>
      <c r="DK28" s="108"/>
      <c r="DL28" s="108"/>
      <c r="DM28" s="108"/>
      <c r="DN28" s="108"/>
      <c r="DO28" s="108"/>
      <c r="DP28" s="108"/>
      <c r="DQ28" s="108"/>
      <c r="DR28" s="108"/>
      <c r="DS28" s="108"/>
      <c r="DT28" s="108"/>
      <c r="DU28" s="108"/>
      <c r="DV28" s="108"/>
      <c r="DW28" s="108"/>
      <c r="DX28" s="108"/>
      <c r="DY28" s="108"/>
      <c r="DZ28" s="108"/>
      <c r="EA28" s="108"/>
      <c r="EB28" s="108"/>
      <c r="EC28" s="108"/>
      <c r="ED28" s="108"/>
      <c r="EE28" s="108"/>
      <c r="EF28" s="108"/>
      <c r="EG28" s="108"/>
      <c r="EH28" s="108"/>
      <c r="EI28" s="108"/>
      <c r="EJ28" s="108"/>
      <c r="EK28" s="108"/>
      <c r="EL28" s="108"/>
      <c r="EM28" s="108"/>
      <c r="EN28" s="108"/>
      <c r="EO28" s="108"/>
      <c r="EP28" s="108"/>
      <c r="EQ28" s="108"/>
      <c r="ER28" s="108"/>
      <c r="ES28" s="108"/>
      <c r="ET28" s="108"/>
      <c r="EU28" s="108"/>
      <c r="EV28" s="108"/>
      <c r="EW28" s="108"/>
      <c r="EX28" s="108"/>
      <c r="EY28" s="108"/>
      <c r="EZ28" s="108"/>
      <c r="FA28" s="108"/>
      <c r="FB28" s="108"/>
      <c r="FC28" s="108"/>
      <c r="FD28" s="108"/>
      <c r="FE28" s="108"/>
      <c r="FF28" s="108"/>
      <c r="FG28" s="108"/>
      <c r="FH28" s="108"/>
      <c r="FI28" s="108"/>
      <c r="FJ28" s="108"/>
      <c r="FK28" s="108"/>
      <c r="FL28" s="108"/>
      <c r="FM28" s="108"/>
      <c r="FN28" s="108"/>
      <c r="FO28" s="108"/>
      <c r="FP28" s="108"/>
      <c r="FQ28" s="108"/>
      <c r="FR28" s="108"/>
      <c r="FS28" s="108"/>
      <c r="FT28" s="108"/>
      <c r="FU28" s="108"/>
      <c r="FV28" s="108"/>
      <c r="FW28" s="108"/>
      <c r="FX28" s="108"/>
      <c r="FY28" s="108"/>
      <c r="FZ28" s="108"/>
      <c r="GA28" s="108"/>
      <c r="GB28" s="108"/>
      <c r="GC28" s="108"/>
      <c r="GD28" s="108"/>
      <c r="GE28" s="108"/>
      <c r="GF28" s="108"/>
      <c r="GG28" s="108"/>
      <c r="GH28" s="108"/>
      <c r="GI28" s="108"/>
      <c r="GJ28" s="108"/>
      <c r="GK28" s="108"/>
      <c r="GL28" s="108"/>
      <c r="GM28" s="108"/>
      <c r="GN28" s="108"/>
      <c r="GO28" s="108"/>
      <c r="GP28" s="108"/>
      <c r="GQ28" s="108"/>
      <c r="GR28" s="108"/>
      <c r="GS28" s="108"/>
      <c r="GT28" s="108"/>
      <c r="GU28" s="108"/>
      <c r="GV28" s="108"/>
      <c r="GW28" s="108"/>
      <c r="GX28" s="108"/>
      <c r="GY28" s="108"/>
      <c r="GZ28" s="108"/>
      <c r="HA28" s="108"/>
      <c r="HB28" s="108"/>
      <c r="HC28" s="108"/>
      <c r="HD28" s="108"/>
      <c r="HE28" s="108"/>
      <c r="HF28" s="108"/>
      <c r="HG28" s="108"/>
      <c r="HH28" s="108"/>
      <c r="HI28" s="108"/>
      <c r="HJ28" s="108"/>
      <c r="HK28" s="108"/>
      <c r="HL28" s="108"/>
      <c r="HM28" s="108"/>
      <c r="HN28" s="108"/>
      <c r="HO28" s="108"/>
      <c r="HP28" s="108"/>
      <c r="HQ28" s="108"/>
      <c r="HR28" s="108"/>
      <c r="HS28" s="108"/>
      <c r="HT28" s="108"/>
      <c r="HU28" s="108"/>
      <c r="HV28" s="108"/>
      <c r="HW28" s="108"/>
      <c r="HX28" s="108"/>
      <c r="HY28" s="108"/>
      <c r="HZ28" s="108"/>
      <c r="IA28" s="108"/>
      <c r="IB28" s="108"/>
      <c r="IC28" s="108"/>
      <c r="ID28" s="108"/>
      <c r="IE28" s="108"/>
      <c r="IF28" s="108"/>
      <c r="IG28" s="108"/>
      <c r="IH28" s="108"/>
      <c r="II28" s="108"/>
      <c r="IJ28" s="108"/>
      <c r="IK28" s="108"/>
      <c r="IL28" s="108"/>
      <c r="IM28" s="108"/>
      <c r="IN28" s="108"/>
      <c r="IO28" s="108"/>
      <c r="IP28" s="108"/>
      <c r="IQ28" s="108"/>
      <c r="IR28" s="108"/>
      <c r="IS28" s="108"/>
      <c r="IT28" s="108"/>
      <c r="IU28" s="108"/>
      <c r="IV28" s="108"/>
    </row>
    <row r="29" spans="1:256" ht="15" customHeight="1" x14ac:dyDescent="0.25">
      <c r="A29" s="108"/>
      <c r="B29" s="107"/>
      <c r="C29" s="115"/>
      <c r="D29" s="509" t="s">
        <v>65</v>
      </c>
      <c r="E29" s="402" t="s">
        <v>360</v>
      </c>
      <c r="F29" s="509">
        <v>30</v>
      </c>
      <c r="G29" s="402" t="s">
        <v>192</v>
      </c>
      <c r="H29" s="108"/>
      <c r="I29" s="108"/>
      <c r="J29" s="108"/>
      <c r="K29" s="108"/>
      <c r="L29" s="108"/>
      <c r="M29" s="108"/>
      <c r="N29" s="108"/>
      <c r="O29" s="108"/>
      <c r="P29" s="108"/>
      <c r="Q29" s="108"/>
      <c r="R29" s="108"/>
      <c r="S29" s="108"/>
      <c r="T29" s="108"/>
      <c r="U29" s="108"/>
      <c r="V29" s="108"/>
      <c r="W29" s="108"/>
      <c r="X29" s="108"/>
      <c r="Y29" s="108"/>
      <c r="Z29" s="108"/>
      <c r="AA29" s="108"/>
      <c r="AB29" s="108"/>
      <c r="AC29" s="108"/>
      <c r="AD29" s="108"/>
      <c r="AE29" s="108"/>
      <c r="AF29" s="108"/>
      <c r="AG29" s="108"/>
      <c r="AH29" s="108"/>
      <c r="AI29" s="108"/>
      <c r="AJ29" s="108"/>
      <c r="AK29" s="108"/>
      <c r="AL29" s="108"/>
      <c r="AM29" s="108"/>
      <c r="AN29" s="108"/>
      <c r="AO29" s="108"/>
      <c r="AP29" s="108"/>
      <c r="AQ29" s="108"/>
      <c r="AR29" s="108"/>
      <c r="AS29" s="108"/>
      <c r="AT29" s="108"/>
      <c r="AU29" s="108"/>
      <c r="AV29" s="108"/>
      <c r="AW29" s="108"/>
      <c r="AX29" s="108"/>
      <c r="AY29" s="108"/>
      <c r="AZ29" s="108"/>
      <c r="BA29" s="108"/>
      <c r="BB29" s="108"/>
      <c r="BC29" s="108"/>
      <c r="BD29" s="108"/>
      <c r="BE29" s="108"/>
      <c r="BF29" s="108"/>
      <c r="BG29" s="108"/>
      <c r="BH29" s="108"/>
      <c r="BI29" s="108"/>
      <c r="BJ29" s="108"/>
      <c r="BK29" s="108"/>
      <c r="BL29" s="108"/>
      <c r="BM29" s="108"/>
      <c r="BN29" s="108"/>
      <c r="BO29" s="108"/>
      <c r="BP29" s="108"/>
      <c r="BQ29" s="108"/>
      <c r="BR29" s="108"/>
      <c r="BS29" s="108"/>
      <c r="BT29" s="108"/>
      <c r="BU29" s="108"/>
      <c r="BV29" s="108"/>
      <c r="BW29" s="108"/>
      <c r="BX29" s="108"/>
      <c r="BY29" s="108"/>
      <c r="BZ29" s="108"/>
      <c r="CA29" s="108"/>
      <c r="CB29" s="108"/>
      <c r="CC29" s="108"/>
      <c r="CD29" s="108"/>
      <c r="CE29" s="108"/>
      <c r="CF29" s="108"/>
      <c r="CG29" s="108"/>
      <c r="CH29" s="108"/>
      <c r="CI29" s="108"/>
      <c r="CJ29" s="108"/>
      <c r="CK29" s="108"/>
      <c r="CL29" s="108"/>
      <c r="CM29" s="108"/>
      <c r="CN29" s="108"/>
      <c r="CO29" s="108"/>
      <c r="CP29" s="108"/>
      <c r="CQ29" s="108"/>
      <c r="CR29" s="108"/>
      <c r="CS29" s="108"/>
      <c r="CT29" s="108"/>
      <c r="CU29" s="108"/>
      <c r="CV29" s="108"/>
      <c r="CW29" s="108"/>
      <c r="CX29" s="108"/>
      <c r="CY29" s="108"/>
      <c r="CZ29" s="108"/>
      <c r="DA29" s="108"/>
      <c r="DB29" s="108"/>
      <c r="DC29" s="108"/>
      <c r="DD29" s="108"/>
      <c r="DE29" s="108"/>
      <c r="DF29" s="108"/>
      <c r="DG29" s="108"/>
      <c r="DH29" s="108"/>
      <c r="DI29" s="108"/>
      <c r="DJ29" s="108"/>
      <c r="DK29" s="108"/>
      <c r="DL29" s="108"/>
      <c r="DM29" s="108"/>
      <c r="DN29" s="108"/>
      <c r="DO29" s="108"/>
      <c r="DP29" s="108"/>
      <c r="DQ29" s="108"/>
      <c r="DR29" s="108"/>
      <c r="DS29" s="108"/>
      <c r="DT29" s="108"/>
      <c r="DU29" s="108"/>
      <c r="DV29" s="108"/>
      <c r="DW29" s="108"/>
      <c r="DX29" s="108"/>
      <c r="DY29" s="108"/>
      <c r="DZ29" s="108"/>
      <c r="EA29" s="108"/>
      <c r="EB29" s="108"/>
      <c r="EC29" s="108"/>
      <c r="ED29" s="108"/>
      <c r="EE29" s="108"/>
      <c r="EF29" s="108"/>
      <c r="EG29" s="108"/>
      <c r="EH29" s="108"/>
      <c r="EI29" s="108"/>
      <c r="EJ29" s="108"/>
      <c r="EK29" s="108"/>
      <c r="EL29" s="108"/>
      <c r="EM29" s="108"/>
      <c r="EN29" s="108"/>
      <c r="EO29" s="108"/>
      <c r="EP29" s="108"/>
      <c r="EQ29" s="108"/>
      <c r="ER29" s="108"/>
      <c r="ES29" s="108"/>
      <c r="ET29" s="108"/>
      <c r="EU29" s="108"/>
      <c r="EV29" s="108"/>
      <c r="EW29" s="108"/>
      <c r="EX29" s="108"/>
      <c r="EY29" s="108"/>
      <c r="EZ29" s="108"/>
      <c r="FA29" s="108"/>
      <c r="FB29" s="108"/>
      <c r="FC29" s="108"/>
      <c r="FD29" s="108"/>
      <c r="FE29" s="108"/>
      <c r="FF29" s="108"/>
      <c r="FG29" s="108"/>
      <c r="FH29" s="108"/>
      <c r="FI29" s="108"/>
      <c r="FJ29" s="108"/>
      <c r="FK29" s="108"/>
      <c r="FL29" s="108"/>
      <c r="FM29" s="108"/>
      <c r="FN29" s="108"/>
      <c r="FO29" s="108"/>
      <c r="FP29" s="108"/>
      <c r="FQ29" s="108"/>
      <c r="FR29" s="108"/>
      <c r="FS29" s="108"/>
      <c r="FT29" s="108"/>
      <c r="FU29" s="108"/>
      <c r="FV29" s="108"/>
      <c r="FW29" s="108"/>
      <c r="FX29" s="108"/>
      <c r="FY29" s="108"/>
      <c r="FZ29" s="108"/>
      <c r="GA29" s="108"/>
      <c r="GB29" s="108"/>
      <c r="GC29" s="108"/>
      <c r="GD29" s="108"/>
      <c r="GE29" s="108"/>
      <c r="GF29" s="108"/>
      <c r="GG29" s="108"/>
      <c r="GH29" s="108"/>
      <c r="GI29" s="108"/>
      <c r="GJ29" s="108"/>
      <c r="GK29" s="108"/>
      <c r="GL29" s="108"/>
      <c r="GM29" s="108"/>
      <c r="GN29" s="108"/>
      <c r="GO29" s="108"/>
      <c r="GP29" s="108"/>
      <c r="GQ29" s="108"/>
      <c r="GR29" s="108"/>
      <c r="GS29" s="108"/>
      <c r="GT29" s="108"/>
      <c r="GU29" s="108"/>
      <c r="GV29" s="108"/>
      <c r="GW29" s="108"/>
      <c r="GX29" s="108"/>
      <c r="GY29" s="108"/>
      <c r="GZ29" s="108"/>
      <c r="HA29" s="108"/>
      <c r="HB29" s="108"/>
      <c r="HC29" s="108"/>
      <c r="HD29" s="108"/>
      <c r="HE29" s="108"/>
      <c r="HF29" s="108"/>
      <c r="HG29" s="108"/>
      <c r="HH29" s="108"/>
      <c r="HI29" s="108"/>
      <c r="HJ29" s="108"/>
      <c r="HK29" s="108"/>
      <c r="HL29" s="108"/>
      <c r="HM29" s="108"/>
      <c r="HN29" s="108"/>
      <c r="HO29" s="108"/>
      <c r="HP29" s="108"/>
      <c r="HQ29" s="108"/>
      <c r="HR29" s="108"/>
      <c r="HS29" s="108"/>
      <c r="HT29" s="108"/>
      <c r="HU29" s="108"/>
      <c r="HV29" s="108"/>
      <c r="HW29" s="108"/>
      <c r="HX29" s="108"/>
      <c r="HY29" s="108"/>
      <c r="HZ29" s="108"/>
      <c r="IA29" s="108"/>
      <c r="IB29" s="108"/>
      <c r="IC29" s="108"/>
      <c r="ID29" s="108"/>
      <c r="IE29" s="108"/>
      <c r="IF29" s="108"/>
      <c r="IG29" s="108"/>
      <c r="IH29" s="108"/>
      <c r="II29" s="108"/>
      <c r="IJ29" s="108"/>
      <c r="IK29" s="108"/>
      <c r="IL29" s="108"/>
      <c r="IM29" s="108"/>
      <c r="IN29" s="108"/>
      <c r="IO29" s="108"/>
      <c r="IP29" s="108"/>
      <c r="IQ29" s="108"/>
      <c r="IR29" s="108"/>
      <c r="IS29" s="108"/>
      <c r="IT29" s="108"/>
      <c r="IU29" s="108"/>
      <c r="IV29" s="108"/>
    </row>
    <row r="30" spans="1:256" ht="8.1" customHeight="1" x14ac:dyDescent="0.35">
      <c r="A30" s="108"/>
      <c r="B30" s="107"/>
      <c r="C30" s="132"/>
      <c r="D30" s="509"/>
      <c r="E30" s="402"/>
      <c r="F30" s="593"/>
      <c r="G30" s="402"/>
      <c r="H30" s="108"/>
      <c r="I30" s="108"/>
      <c r="J30" s="108"/>
      <c r="K30" s="108"/>
      <c r="L30" s="108"/>
      <c r="M30" s="108"/>
      <c r="N30" s="108"/>
      <c r="O30" s="108"/>
      <c r="P30" s="108"/>
      <c r="Q30" s="108"/>
      <c r="R30" s="108"/>
      <c r="S30" s="108"/>
      <c r="T30" s="108"/>
      <c r="U30" s="108"/>
      <c r="V30" s="108"/>
      <c r="W30" s="108"/>
      <c r="X30" s="108"/>
      <c r="Y30" s="108"/>
      <c r="Z30" s="108"/>
      <c r="AA30" s="108"/>
      <c r="AB30" s="108"/>
      <c r="AC30" s="108"/>
      <c r="AD30" s="108"/>
      <c r="AE30" s="108"/>
      <c r="AF30" s="108"/>
      <c r="AG30" s="108"/>
      <c r="AH30" s="108"/>
      <c r="AI30" s="108"/>
      <c r="AJ30" s="108"/>
      <c r="AK30" s="108"/>
      <c r="AL30" s="108"/>
      <c r="AM30" s="108"/>
      <c r="AN30" s="108"/>
      <c r="AO30" s="108"/>
      <c r="AP30" s="108"/>
      <c r="AQ30" s="108"/>
      <c r="AR30" s="108"/>
      <c r="AS30" s="108"/>
      <c r="AT30" s="108"/>
      <c r="AU30" s="108"/>
      <c r="AV30" s="108"/>
      <c r="AW30" s="108"/>
      <c r="AX30" s="108"/>
      <c r="AY30" s="108"/>
      <c r="AZ30" s="108"/>
      <c r="BA30" s="108"/>
      <c r="BB30" s="108"/>
      <c r="BC30" s="108"/>
      <c r="BD30" s="108"/>
      <c r="BE30" s="108"/>
      <c r="BF30" s="108"/>
      <c r="BG30" s="108"/>
      <c r="BH30" s="108"/>
      <c r="BI30" s="108"/>
      <c r="BJ30" s="108"/>
      <c r="BK30" s="108"/>
      <c r="BL30" s="108"/>
      <c r="BM30" s="108"/>
      <c r="BN30" s="108"/>
      <c r="BO30" s="108"/>
      <c r="BP30" s="108"/>
      <c r="BQ30" s="108"/>
      <c r="BR30" s="108"/>
      <c r="BS30" s="108"/>
      <c r="BT30" s="108"/>
      <c r="BU30" s="108"/>
      <c r="BV30" s="108"/>
      <c r="BW30" s="108"/>
      <c r="BX30" s="108"/>
      <c r="BY30" s="108"/>
      <c r="BZ30" s="108"/>
      <c r="CA30" s="108"/>
      <c r="CB30" s="108"/>
      <c r="CC30" s="108"/>
      <c r="CD30" s="108"/>
      <c r="CE30" s="108"/>
      <c r="CF30" s="108"/>
      <c r="CG30" s="108"/>
      <c r="CH30" s="108"/>
      <c r="CI30" s="108"/>
      <c r="CJ30" s="108"/>
      <c r="CK30" s="108"/>
      <c r="CL30" s="108"/>
      <c r="CM30" s="108"/>
      <c r="CN30" s="108"/>
      <c r="CO30" s="108"/>
      <c r="CP30" s="108"/>
      <c r="CQ30" s="108"/>
      <c r="CR30" s="108"/>
      <c r="CS30" s="108"/>
      <c r="CT30" s="108"/>
      <c r="CU30" s="108"/>
      <c r="CV30" s="108"/>
      <c r="CW30" s="108"/>
      <c r="CX30" s="108"/>
      <c r="CY30" s="108"/>
      <c r="CZ30" s="108"/>
      <c r="DA30" s="108"/>
      <c r="DB30" s="108"/>
      <c r="DC30" s="108"/>
      <c r="DD30" s="108"/>
      <c r="DE30" s="108"/>
      <c r="DF30" s="108"/>
      <c r="DG30" s="108"/>
      <c r="DH30" s="108"/>
      <c r="DI30" s="108"/>
      <c r="DJ30" s="108"/>
      <c r="DK30" s="108"/>
      <c r="DL30" s="108"/>
      <c r="DM30" s="108"/>
      <c r="DN30" s="108"/>
      <c r="DO30" s="108"/>
      <c r="DP30" s="108"/>
      <c r="DQ30" s="108"/>
      <c r="DR30" s="108"/>
      <c r="DS30" s="108"/>
      <c r="DT30" s="108"/>
      <c r="DU30" s="108"/>
      <c r="DV30" s="108"/>
      <c r="DW30" s="108"/>
      <c r="DX30" s="108"/>
      <c r="DY30" s="108"/>
      <c r="DZ30" s="108"/>
      <c r="EA30" s="108"/>
      <c r="EB30" s="108"/>
      <c r="EC30" s="108"/>
      <c r="ED30" s="108"/>
      <c r="EE30" s="108"/>
      <c r="EF30" s="108"/>
      <c r="EG30" s="108"/>
      <c r="EH30" s="108"/>
      <c r="EI30" s="108"/>
      <c r="EJ30" s="108"/>
      <c r="EK30" s="108"/>
      <c r="EL30" s="108"/>
      <c r="EM30" s="108"/>
      <c r="EN30" s="108"/>
      <c r="EO30" s="108"/>
      <c r="EP30" s="108"/>
      <c r="EQ30" s="108"/>
      <c r="ER30" s="108"/>
      <c r="ES30" s="108"/>
      <c r="ET30" s="108"/>
      <c r="EU30" s="108"/>
      <c r="EV30" s="108"/>
      <c r="EW30" s="108"/>
      <c r="EX30" s="108"/>
      <c r="EY30" s="108"/>
      <c r="EZ30" s="108"/>
      <c r="FA30" s="108"/>
      <c r="FB30" s="108"/>
      <c r="FC30" s="108"/>
      <c r="FD30" s="108"/>
      <c r="FE30" s="108"/>
      <c r="FF30" s="108"/>
      <c r="FG30" s="108"/>
      <c r="FH30" s="108"/>
      <c r="FI30" s="108"/>
      <c r="FJ30" s="108"/>
      <c r="FK30" s="108"/>
      <c r="FL30" s="108"/>
      <c r="FM30" s="108"/>
      <c r="FN30" s="108"/>
      <c r="FO30" s="108"/>
      <c r="FP30" s="108"/>
      <c r="FQ30" s="108"/>
      <c r="FR30" s="108"/>
      <c r="FS30" s="108"/>
      <c r="FT30" s="108"/>
      <c r="FU30" s="108"/>
      <c r="FV30" s="108"/>
      <c r="FW30" s="108"/>
      <c r="FX30" s="108"/>
      <c r="FY30" s="108"/>
      <c r="FZ30" s="108"/>
      <c r="GA30" s="108"/>
      <c r="GB30" s="108"/>
      <c r="GC30" s="108"/>
      <c r="GD30" s="108"/>
      <c r="GE30" s="108"/>
      <c r="GF30" s="108"/>
      <c r="GG30" s="108"/>
      <c r="GH30" s="108"/>
      <c r="GI30" s="108"/>
      <c r="GJ30" s="108"/>
      <c r="GK30" s="108"/>
      <c r="GL30" s="108"/>
      <c r="GM30" s="108"/>
      <c r="GN30" s="108"/>
      <c r="GO30" s="108"/>
      <c r="GP30" s="108"/>
      <c r="GQ30" s="108"/>
      <c r="GR30" s="108"/>
      <c r="GS30" s="108"/>
      <c r="GT30" s="108"/>
      <c r="GU30" s="108"/>
      <c r="GV30" s="108"/>
      <c r="GW30" s="108"/>
      <c r="GX30" s="108"/>
      <c r="GY30" s="108"/>
      <c r="GZ30" s="108"/>
      <c r="HA30" s="108"/>
      <c r="HB30" s="108"/>
      <c r="HC30" s="108"/>
      <c r="HD30" s="108"/>
      <c r="HE30" s="108"/>
      <c r="HF30" s="108"/>
      <c r="HG30" s="108"/>
      <c r="HH30" s="108"/>
      <c r="HI30" s="108"/>
      <c r="HJ30" s="108"/>
      <c r="HK30" s="108"/>
      <c r="HL30" s="108"/>
      <c r="HM30" s="108"/>
      <c r="HN30" s="108"/>
      <c r="HO30" s="108"/>
      <c r="HP30" s="108"/>
      <c r="HQ30" s="108"/>
      <c r="HR30" s="108"/>
      <c r="HS30" s="108"/>
      <c r="HT30" s="108"/>
      <c r="HU30" s="108"/>
      <c r="HV30" s="108"/>
      <c r="HW30" s="108"/>
      <c r="HX30" s="108"/>
      <c r="HY30" s="108"/>
      <c r="HZ30" s="108"/>
      <c r="IA30" s="108"/>
      <c r="IB30" s="108"/>
      <c r="IC30" s="108"/>
      <c r="ID30" s="108"/>
      <c r="IE30" s="108"/>
      <c r="IF30" s="108"/>
      <c r="IG30" s="108"/>
      <c r="IH30" s="108"/>
      <c r="II30" s="108"/>
      <c r="IJ30" s="108"/>
      <c r="IK30" s="108"/>
      <c r="IL30" s="108"/>
      <c r="IM30" s="108"/>
      <c r="IN30" s="108"/>
      <c r="IO30" s="108"/>
      <c r="IP30" s="108"/>
      <c r="IQ30" s="108"/>
      <c r="IR30" s="108"/>
      <c r="IS30" s="108"/>
      <c r="IT30" s="108"/>
      <c r="IU30" s="108"/>
      <c r="IV30" s="108"/>
    </row>
    <row r="31" spans="1:256" ht="15" customHeight="1" x14ac:dyDescent="0.25">
      <c r="A31" s="108"/>
      <c r="B31" s="107"/>
      <c r="C31" s="115"/>
      <c r="D31" s="509" t="s">
        <v>66</v>
      </c>
      <c r="E31" s="402" t="s">
        <v>361</v>
      </c>
      <c r="F31" s="509">
        <v>31</v>
      </c>
      <c r="G31" s="402" t="s">
        <v>193</v>
      </c>
      <c r="H31" s="108"/>
      <c r="I31" s="108"/>
      <c r="J31" s="108"/>
      <c r="K31" s="108"/>
      <c r="L31" s="108"/>
      <c r="M31" s="108"/>
      <c r="N31" s="108"/>
      <c r="O31" s="108"/>
      <c r="P31" s="108"/>
      <c r="Q31" s="108"/>
      <c r="R31" s="108"/>
      <c r="S31" s="108"/>
      <c r="T31" s="108"/>
      <c r="U31" s="108"/>
      <c r="V31" s="108"/>
      <c r="W31" s="108"/>
      <c r="X31" s="108"/>
      <c r="Y31" s="108"/>
      <c r="Z31" s="108"/>
      <c r="AA31" s="108"/>
      <c r="AB31" s="108"/>
      <c r="AC31" s="108"/>
      <c r="AD31" s="108"/>
      <c r="AE31" s="108"/>
      <c r="AF31" s="108"/>
      <c r="AG31" s="108"/>
      <c r="AH31" s="108"/>
      <c r="AI31" s="108"/>
      <c r="AJ31" s="108"/>
      <c r="AK31" s="108"/>
      <c r="AL31" s="108"/>
      <c r="AM31" s="108"/>
      <c r="AN31" s="108"/>
      <c r="AO31" s="108"/>
      <c r="AP31" s="108"/>
      <c r="AQ31" s="108"/>
      <c r="AR31" s="108"/>
      <c r="AS31" s="108"/>
      <c r="AT31" s="108"/>
      <c r="AU31" s="108"/>
      <c r="AV31" s="108"/>
      <c r="AW31" s="108"/>
      <c r="AX31" s="108"/>
      <c r="AY31" s="108"/>
      <c r="AZ31" s="108"/>
      <c r="BA31" s="108"/>
      <c r="BB31" s="108"/>
      <c r="BC31" s="108"/>
      <c r="BD31" s="108"/>
      <c r="BE31" s="108"/>
      <c r="BF31" s="108"/>
      <c r="BG31" s="108"/>
      <c r="BH31" s="108"/>
      <c r="BI31" s="108"/>
      <c r="BJ31" s="108"/>
      <c r="BK31" s="108"/>
      <c r="BL31" s="108"/>
      <c r="BM31" s="108"/>
      <c r="BN31" s="108"/>
      <c r="BO31" s="108"/>
      <c r="BP31" s="108"/>
      <c r="BQ31" s="108"/>
      <c r="BR31" s="108"/>
      <c r="BS31" s="108"/>
      <c r="BT31" s="108"/>
      <c r="BU31" s="108"/>
      <c r="BV31" s="108"/>
      <c r="BW31" s="108"/>
      <c r="BX31" s="108"/>
      <c r="BY31" s="108"/>
      <c r="BZ31" s="108"/>
      <c r="CA31" s="108"/>
      <c r="CB31" s="108"/>
      <c r="CC31" s="108"/>
      <c r="CD31" s="108"/>
      <c r="CE31" s="108"/>
      <c r="CF31" s="108"/>
      <c r="CG31" s="108"/>
      <c r="CH31" s="108"/>
      <c r="CI31" s="108"/>
      <c r="CJ31" s="108"/>
      <c r="CK31" s="108"/>
      <c r="CL31" s="108"/>
      <c r="CM31" s="108"/>
      <c r="CN31" s="108"/>
      <c r="CO31" s="108"/>
      <c r="CP31" s="108"/>
      <c r="CQ31" s="108"/>
      <c r="CR31" s="108"/>
      <c r="CS31" s="108"/>
      <c r="CT31" s="108"/>
      <c r="CU31" s="108"/>
      <c r="CV31" s="108"/>
      <c r="CW31" s="108"/>
      <c r="CX31" s="108"/>
      <c r="CY31" s="108"/>
      <c r="CZ31" s="108"/>
      <c r="DA31" s="108"/>
      <c r="DB31" s="108"/>
      <c r="DC31" s="108"/>
      <c r="DD31" s="108"/>
      <c r="DE31" s="108"/>
      <c r="DF31" s="108"/>
      <c r="DG31" s="108"/>
      <c r="DH31" s="108"/>
      <c r="DI31" s="108"/>
      <c r="DJ31" s="108"/>
      <c r="DK31" s="108"/>
      <c r="DL31" s="108"/>
      <c r="DM31" s="108"/>
      <c r="DN31" s="108"/>
      <c r="DO31" s="108"/>
      <c r="DP31" s="108"/>
      <c r="DQ31" s="108"/>
      <c r="DR31" s="108"/>
      <c r="DS31" s="108"/>
      <c r="DT31" s="108"/>
      <c r="DU31" s="108"/>
      <c r="DV31" s="108"/>
      <c r="DW31" s="108"/>
      <c r="DX31" s="108"/>
      <c r="DY31" s="108"/>
      <c r="DZ31" s="108"/>
      <c r="EA31" s="108"/>
      <c r="EB31" s="108"/>
      <c r="EC31" s="108"/>
      <c r="ED31" s="108"/>
      <c r="EE31" s="108"/>
      <c r="EF31" s="108"/>
      <c r="EG31" s="108"/>
      <c r="EH31" s="108"/>
      <c r="EI31" s="108"/>
      <c r="EJ31" s="108"/>
      <c r="EK31" s="108"/>
      <c r="EL31" s="108"/>
      <c r="EM31" s="108"/>
      <c r="EN31" s="108"/>
      <c r="EO31" s="108"/>
      <c r="EP31" s="108"/>
      <c r="EQ31" s="108"/>
      <c r="ER31" s="108"/>
      <c r="ES31" s="108"/>
      <c r="ET31" s="108"/>
      <c r="EU31" s="108"/>
      <c r="EV31" s="108"/>
      <c r="EW31" s="108"/>
      <c r="EX31" s="108"/>
      <c r="EY31" s="108"/>
      <c r="EZ31" s="108"/>
      <c r="FA31" s="108"/>
      <c r="FB31" s="108"/>
      <c r="FC31" s="108"/>
      <c r="FD31" s="108"/>
      <c r="FE31" s="108"/>
      <c r="FF31" s="108"/>
      <c r="FG31" s="108"/>
      <c r="FH31" s="108"/>
      <c r="FI31" s="108"/>
      <c r="FJ31" s="108"/>
      <c r="FK31" s="108"/>
      <c r="FL31" s="108"/>
      <c r="FM31" s="108"/>
      <c r="FN31" s="108"/>
      <c r="FO31" s="108"/>
      <c r="FP31" s="108"/>
      <c r="FQ31" s="108"/>
      <c r="FR31" s="108"/>
      <c r="FS31" s="108"/>
      <c r="FT31" s="108"/>
      <c r="FU31" s="108"/>
      <c r="FV31" s="108"/>
      <c r="FW31" s="108"/>
      <c r="FX31" s="108"/>
      <c r="FY31" s="108"/>
      <c r="FZ31" s="108"/>
      <c r="GA31" s="108"/>
      <c r="GB31" s="108"/>
      <c r="GC31" s="108"/>
      <c r="GD31" s="108"/>
      <c r="GE31" s="108"/>
      <c r="GF31" s="108"/>
      <c r="GG31" s="108"/>
      <c r="GH31" s="108"/>
      <c r="GI31" s="108"/>
      <c r="GJ31" s="108"/>
      <c r="GK31" s="108"/>
      <c r="GL31" s="108"/>
      <c r="GM31" s="108"/>
      <c r="GN31" s="108"/>
      <c r="GO31" s="108"/>
      <c r="GP31" s="108"/>
      <c r="GQ31" s="108"/>
      <c r="GR31" s="108"/>
      <c r="GS31" s="108"/>
      <c r="GT31" s="108"/>
      <c r="GU31" s="108"/>
      <c r="GV31" s="108"/>
      <c r="GW31" s="108"/>
      <c r="GX31" s="108"/>
      <c r="GY31" s="108"/>
      <c r="GZ31" s="108"/>
      <c r="HA31" s="108"/>
      <c r="HB31" s="108"/>
      <c r="HC31" s="108"/>
      <c r="HD31" s="108"/>
      <c r="HE31" s="108"/>
      <c r="HF31" s="108"/>
      <c r="HG31" s="108"/>
      <c r="HH31" s="108"/>
      <c r="HI31" s="108"/>
      <c r="HJ31" s="108"/>
      <c r="HK31" s="108"/>
      <c r="HL31" s="108"/>
      <c r="HM31" s="108"/>
      <c r="HN31" s="108"/>
      <c r="HO31" s="108"/>
      <c r="HP31" s="108"/>
      <c r="HQ31" s="108"/>
      <c r="HR31" s="108"/>
      <c r="HS31" s="108"/>
      <c r="HT31" s="108"/>
      <c r="HU31" s="108"/>
      <c r="HV31" s="108"/>
      <c r="HW31" s="108"/>
      <c r="HX31" s="108"/>
      <c r="HY31" s="108"/>
      <c r="HZ31" s="108"/>
      <c r="IA31" s="108"/>
      <c r="IB31" s="108"/>
      <c r="IC31" s="108"/>
      <c r="ID31" s="108"/>
      <c r="IE31" s="108"/>
      <c r="IF31" s="108"/>
      <c r="IG31" s="108"/>
      <c r="IH31" s="108"/>
      <c r="II31" s="108"/>
      <c r="IJ31" s="108"/>
      <c r="IK31" s="108"/>
      <c r="IL31" s="108"/>
      <c r="IM31" s="108"/>
      <c r="IN31" s="108"/>
      <c r="IO31" s="108"/>
      <c r="IP31" s="108"/>
      <c r="IQ31" s="108"/>
      <c r="IR31" s="108"/>
      <c r="IS31" s="108"/>
      <c r="IT31" s="108"/>
      <c r="IU31" s="108"/>
      <c r="IV31" s="108"/>
    </row>
    <row r="32" spans="1:256" ht="8.1" customHeight="1" x14ac:dyDescent="0.35">
      <c r="A32" s="108"/>
      <c r="B32" s="107"/>
      <c r="C32" s="132"/>
      <c r="D32" s="509"/>
      <c r="E32" s="402"/>
      <c r="F32" s="593"/>
      <c r="G32" s="402"/>
      <c r="H32" s="108"/>
      <c r="I32" s="108"/>
      <c r="J32" s="108"/>
      <c r="K32" s="108"/>
      <c r="L32" s="108"/>
      <c r="M32" s="108"/>
      <c r="N32" s="108"/>
      <c r="O32" s="108"/>
      <c r="P32" s="108"/>
      <c r="Q32" s="108"/>
      <c r="R32" s="108"/>
      <c r="S32" s="108"/>
      <c r="T32" s="108"/>
      <c r="U32" s="108"/>
      <c r="V32" s="108"/>
      <c r="W32" s="108"/>
      <c r="X32" s="108"/>
      <c r="Y32" s="108"/>
      <c r="Z32" s="108"/>
      <c r="AA32" s="108"/>
      <c r="AB32" s="108"/>
      <c r="AC32" s="108"/>
      <c r="AD32" s="108"/>
      <c r="AE32" s="108"/>
      <c r="AF32" s="108"/>
      <c r="AG32" s="108"/>
      <c r="AH32" s="108"/>
      <c r="AI32" s="108"/>
      <c r="AJ32" s="108"/>
      <c r="AK32" s="108"/>
      <c r="AL32" s="108"/>
      <c r="AM32" s="108"/>
      <c r="AN32" s="108"/>
      <c r="AO32" s="108"/>
      <c r="AP32" s="108"/>
      <c r="AQ32" s="108"/>
      <c r="AR32" s="108"/>
      <c r="AS32" s="108"/>
      <c r="AT32" s="108"/>
      <c r="AU32" s="108"/>
      <c r="AV32" s="108"/>
      <c r="AW32" s="108"/>
      <c r="AX32" s="108"/>
      <c r="AY32" s="108"/>
      <c r="AZ32" s="108"/>
      <c r="BA32" s="108"/>
      <c r="BB32" s="108"/>
      <c r="BC32" s="108"/>
      <c r="BD32" s="108"/>
      <c r="BE32" s="108"/>
      <c r="BF32" s="108"/>
      <c r="BG32" s="108"/>
      <c r="BH32" s="108"/>
      <c r="BI32" s="108"/>
      <c r="BJ32" s="108"/>
      <c r="BK32" s="108"/>
      <c r="BL32" s="108"/>
      <c r="BM32" s="108"/>
      <c r="BN32" s="108"/>
      <c r="BO32" s="108"/>
      <c r="BP32" s="108"/>
      <c r="BQ32" s="108"/>
      <c r="BR32" s="108"/>
      <c r="BS32" s="108"/>
      <c r="BT32" s="108"/>
      <c r="BU32" s="108"/>
      <c r="BV32" s="108"/>
      <c r="BW32" s="108"/>
      <c r="BX32" s="108"/>
      <c r="BY32" s="108"/>
      <c r="BZ32" s="108"/>
      <c r="CA32" s="108"/>
      <c r="CB32" s="108"/>
      <c r="CC32" s="108"/>
      <c r="CD32" s="108"/>
      <c r="CE32" s="108"/>
      <c r="CF32" s="108"/>
      <c r="CG32" s="108"/>
      <c r="CH32" s="108"/>
      <c r="CI32" s="108"/>
      <c r="CJ32" s="108"/>
      <c r="CK32" s="108"/>
      <c r="CL32" s="108"/>
      <c r="CM32" s="108"/>
      <c r="CN32" s="108"/>
      <c r="CO32" s="108"/>
      <c r="CP32" s="108"/>
      <c r="CQ32" s="108"/>
      <c r="CR32" s="108"/>
      <c r="CS32" s="108"/>
      <c r="CT32" s="108"/>
      <c r="CU32" s="108"/>
      <c r="CV32" s="108"/>
      <c r="CW32" s="108"/>
      <c r="CX32" s="108"/>
      <c r="CY32" s="108"/>
      <c r="CZ32" s="108"/>
      <c r="DA32" s="108"/>
      <c r="DB32" s="108"/>
      <c r="DC32" s="108"/>
      <c r="DD32" s="108"/>
      <c r="DE32" s="108"/>
      <c r="DF32" s="108"/>
      <c r="DG32" s="108"/>
      <c r="DH32" s="108"/>
      <c r="DI32" s="108"/>
      <c r="DJ32" s="108"/>
      <c r="DK32" s="108"/>
      <c r="DL32" s="108"/>
      <c r="DM32" s="108"/>
      <c r="DN32" s="108"/>
      <c r="DO32" s="108"/>
      <c r="DP32" s="108"/>
      <c r="DQ32" s="108"/>
      <c r="DR32" s="108"/>
      <c r="DS32" s="108"/>
      <c r="DT32" s="108"/>
      <c r="DU32" s="108"/>
      <c r="DV32" s="108"/>
      <c r="DW32" s="108"/>
      <c r="DX32" s="108"/>
      <c r="DY32" s="108"/>
      <c r="DZ32" s="108"/>
      <c r="EA32" s="108"/>
      <c r="EB32" s="108"/>
      <c r="EC32" s="108"/>
      <c r="ED32" s="108"/>
      <c r="EE32" s="108"/>
      <c r="EF32" s="108"/>
      <c r="EG32" s="108"/>
      <c r="EH32" s="108"/>
      <c r="EI32" s="108"/>
      <c r="EJ32" s="108"/>
      <c r="EK32" s="108"/>
      <c r="EL32" s="108"/>
      <c r="EM32" s="108"/>
      <c r="EN32" s="108"/>
      <c r="EO32" s="108"/>
      <c r="EP32" s="108"/>
      <c r="EQ32" s="108"/>
      <c r="ER32" s="108"/>
      <c r="ES32" s="108"/>
      <c r="ET32" s="108"/>
      <c r="EU32" s="108"/>
      <c r="EV32" s="108"/>
      <c r="EW32" s="108"/>
      <c r="EX32" s="108"/>
      <c r="EY32" s="108"/>
      <c r="EZ32" s="108"/>
      <c r="FA32" s="108"/>
      <c r="FB32" s="108"/>
      <c r="FC32" s="108"/>
      <c r="FD32" s="108"/>
      <c r="FE32" s="108"/>
      <c r="FF32" s="108"/>
      <c r="FG32" s="108"/>
      <c r="FH32" s="108"/>
      <c r="FI32" s="108"/>
      <c r="FJ32" s="108"/>
      <c r="FK32" s="108"/>
      <c r="FL32" s="108"/>
      <c r="FM32" s="108"/>
      <c r="FN32" s="108"/>
      <c r="FO32" s="108"/>
      <c r="FP32" s="108"/>
      <c r="FQ32" s="108"/>
      <c r="FR32" s="108"/>
      <c r="FS32" s="108"/>
      <c r="FT32" s="108"/>
      <c r="FU32" s="108"/>
      <c r="FV32" s="108"/>
      <c r="FW32" s="108"/>
      <c r="FX32" s="108"/>
      <c r="FY32" s="108"/>
      <c r="FZ32" s="108"/>
      <c r="GA32" s="108"/>
      <c r="GB32" s="108"/>
      <c r="GC32" s="108"/>
      <c r="GD32" s="108"/>
      <c r="GE32" s="108"/>
      <c r="GF32" s="108"/>
      <c r="GG32" s="108"/>
      <c r="GH32" s="108"/>
      <c r="GI32" s="108"/>
      <c r="GJ32" s="108"/>
      <c r="GK32" s="108"/>
      <c r="GL32" s="108"/>
      <c r="GM32" s="108"/>
      <c r="GN32" s="108"/>
      <c r="GO32" s="108"/>
      <c r="GP32" s="108"/>
      <c r="GQ32" s="108"/>
      <c r="GR32" s="108"/>
      <c r="GS32" s="108"/>
      <c r="GT32" s="108"/>
      <c r="GU32" s="108"/>
      <c r="GV32" s="108"/>
      <c r="GW32" s="108"/>
      <c r="GX32" s="108"/>
      <c r="GY32" s="108"/>
      <c r="GZ32" s="108"/>
      <c r="HA32" s="108"/>
      <c r="HB32" s="108"/>
      <c r="HC32" s="108"/>
      <c r="HD32" s="108"/>
      <c r="HE32" s="108"/>
      <c r="HF32" s="108"/>
      <c r="HG32" s="108"/>
      <c r="HH32" s="108"/>
      <c r="HI32" s="108"/>
      <c r="HJ32" s="108"/>
      <c r="HK32" s="108"/>
      <c r="HL32" s="108"/>
      <c r="HM32" s="108"/>
      <c r="HN32" s="108"/>
      <c r="HO32" s="108"/>
      <c r="HP32" s="108"/>
      <c r="HQ32" s="108"/>
      <c r="HR32" s="108"/>
      <c r="HS32" s="108"/>
      <c r="HT32" s="108"/>
      <c r="HU32" s="108"/>
      <c r="HV32" s="108"/>
      <c r="HW32" s="108"/>
      <c r="HX32" s="108"/>
      <c r="HY32" s="108"/>
      <c r="HZ32" s="108"/>
      <c r="IA32" s="108"/>
      <c r="IB32" s="108"/>
      <c r="IC32" s="108"/>
      <c r="ID32" s="108"/>
      <c r="IE32" s="108"/>
      <c r="IF32" s="108"/>
      <c r="IG32" s="108"/>
      <c r="IH32" s="108"/>
      <c r="II32" s="108"/>
      <c r="IJ32" s="108"/>
      <c r="IK32" s="108"/>
      <c r="IL32" s="108"/>
      <c r="IM32" s="108"/>
      <c r="IN32" s="108"/>
      <c r="IO32" s="108"/>
      <c r="IP32" s="108"/>
      <c r="IQ32" s="108"/>
      <c r="IR32" s="108"/>
      <c r="IS32" s="108"/>
      <c r="IT32" s="108"/>
      <c r="IU32" s="108"/>
      <c r="IV32" s="108"/>
    </row>
    <row r="33" spans="1:256" ht="15" customHeight="1" x14ac:dyDescent="0.25">
      <c r="A33" s="108"/>
      <c r="B33" s="107"/>
      <c r="C33" s="115"/>
      <c r="D33" s="509" t="s">
        <v>67</v>
      </c>
      <c r="E33" s="402" t="s">
        <v>370</v>
      </c>
      <c r="F33" s="509">
        <v>32</v>
      </c>
      <c r="G33" s="402" t="s">
        <v>194</v>
      </c>
      <c r="H33" s="108"/>
      <c r="I33" s="108"/>
      <c r="J33" s="108"/>
      <c r="K33" s="108"/>
      <c r="L33" s="108"/>
      <c r="M33" s="108"/>
      <c r="N33" s="108"/>
      <c r="O33" s="108"/>
      <c r="P33" s="108"/>
      <c r="Q33" s="108"/>
      <c r="R33" s="108"/>
      <c r="S33" s="108"/>
      <c r="T33" s="108"/>
      <c r="U33" s="108"/>
      <c r="V33" s="108"/>
      <c r="W33" s="108"/>
      <c r="X33" s="108"/>
      <c r="Y33" s="108"/>
      <c r="Z33" s="108"/>
      <c r="AA33" s="108"/>
      <c r="AB33" s="108"/>
      <c r="AC33" s="108"/>
      <c r="AD33" s="108"/>
      <c r="AE33" s="108"/>
      <c r="AF33" s="108"/>
      <c r="AG33" s="108"/>
      <c r="AH33" s="108"/>
      <c r="AI33" s="108"/>
      <c r="AJ33" s="108"/>
      <c r="AK33" s="108"/>
      <c r="AL33" s="108"/>
      <c r="AM33" s="108"/>
      <c r="AN33" s="108"/>
      <c r="AO33" s="108"/>
      <c r="AP33" s="108"/>
      <c r="AQ33" s="108"/>
      <c r="AR33" s="108"/>
      <c r="AS33" s="108"/>
      <c r="AT33" s="108"/>
      <c r="AU33" s="108"/>
      <c r="AV33" s="108"/>
      <c r="AW33" s="108"/>
      <c r="AX33" s="108"/>
      <c r="AY33" s="108"/>
      <c r="AZ33" s="108"/>
      <c r="BA33" s="108"/>
      <c r="BB33" s="108"/>
      <c r="BC33" s="108"/>
      <c r="BD33" s="108"/>
      <c r="BE33" s="108"/>
      <c r="BF33" s="108"/>
      <c r="BG33" s="108"/>
      <c r="BH33" s="108"/>
      <c r="BI33" s="108"/>
      <c r="BJ33" s="108"/>
      <c r="BK33" s="108"/>
      <c r="BL33" s="108"/>
      <c r="BM33" s="108"/>
      <c r="BN33" s="108"/>
      <c r="BO33" s="108"/>
      <c r="BP33" s="108"/>
      <c r="BQ33" s="108"/>
      <c r="BR33" s="108"/>
      <c r="BS33" s="108"/>
      <c r="BT33" s="108"/>
      <c r="BU33" s="108"/>
      <c r="BV33" s="108"/>
      <c r="BW33" s="108"/>
      <c r="BX33" s="108"/>
      <c r="BY33" s="108"/>
      <c r="BZ33" s="108"/>
      <c r="CA33" s="108"/>
      <c r="CB33" s="108"/>
      <c r="CC33" s="108"/>
      <c r="CD33" s="108"/>
      <c r="CE33" s="108"/>
      <c r="CF33" s="108"/>
      <c r="CG33" s="108"/>
      <c r="CH33" s="108"/>
      <c r="CI33" s="108"/>
      <c r="CJ33" s="108"/>
      <c r="CK33" s="108"/>
      <c r="CL33" s="108"/>
      <c r="CM33" s="108"/>
      <c r="CN33" s="108"/>
      <c r="CO33" s="108"/>
      <c r="CP33" s="108"/>
      <c r="CQ33" s="108"/>
      <c r="CR33" s="108"/>
      <c r="CS33" s="108"/>
      <c r="CT33" s="108"/>
      <c r="CU33" s="108"/>
      <c r="CV33" s="108"/>
      <c r="CW33" s="108"/>
      <c r="CX33" s="108"/>
      <c r="CY33" s="108"/>
      <c r="CZ33" s="108"/>
      <c r="DA33" s="108"/>
      <c r="DB33" s="108"/>
      <c r="DC33" s="108"/>
      <c r="DD33" s="108"/>
      <c r="DE33" s="108"/>
      <c r="DF33" s="108"/>
      <c r="DG33" s="108"/>
      <c r="DH33" s="108"/>
      <c r="DI33" s="108"/>
      <c r="DJ33" s="108"/>
      <c r="DK33" s="108"/>
      <c r="DL33" s="108"/>
      <c r="DM33" s="108"/>
      <c r="DN33" s="108"/>
      <c r="DO33" s="108"/>
      <c r="DP33" s="108"/>
      <c r="DQ33" s="108"/>
      <c r="DR33" s="108"/>
      <c r="DS33" s="108"/>
      <c r="DT33" s="108"/>
      <c r="DU33" s="108"/>
      <c r="DV33" s="108"/>
      <c r="DW33" s="108"/>
      <c r="DX33" s="108"/>
      <c r="DY33" s="108"/>
      <c r="DZ33" s="108"/>
      <c r="EA33" s="108"/>
      <c r="EB33" s="108"/>
      <c r="EC33" s="108"/>
      <c r="ED33" s="108"/>
      <c r="EE33" s="108"/>
      <c r="EF33" s="108"/>
      <c r="EG33" s="108"/>
      <c r="EH33" s="108"/>
      <c r="EI33" s="108"/>
      <c r="EJ33" s="108"/>
      <c r="EK33" s="108"/>
      <c r="EL33" s="108"/>
      <c r="EM33" s="108"/>
      <c r="EN33" s="108"/>
      <c r="EO33" s="108"/>
      <c r="EP33" s="108"/>
      <c r="EQ33" s="108"/>
      <c r="ER33" s="108"/>
      <c r="ES33" s="108"/>
      <c r="ET33" s="108"/>
      <c r="EU33" s="108"/>
      <c r="EV33" s="108"/>
      <c r="EW33" s="108"/>
      <c r="EX33" s="108"/>
      <c r="EY33" s="108"/>
      <c r="EZ33" s="108"/>
      <c r="FA33" s="108"/>
      <c r="FB33" s="108"/>
      <c r="FC33" s="108"/>
      <c r="FD33" s="108"/>
      <c r="FE33" s="108"/>
      <c r="FF33" s="108"/>
      <c r="FG33" s="108"/>
      <c r="FH33" s="108"/>
      <c r="FI33" s="108"/>
      <c r="FJ33" s="108"/>
      <c r="FK33" s="108"/>
      <c r="FL33" s="108"/>
      <c r="FM33" s="108"/>
      <c r="FN33" s="108"/>
      <c r="FO33" s="108"/>
      <c r="FP33" s="108"/>
      <c r="FQ33" s="108"/>
      <c r="FR33" s="108"/>
      <c r="FS33" s="108"/>
      <c r="FT33" s="108"/>
      <c r="FU33" s="108"/>
      <c r="FV33" s="108"/>
      <c r="FW33" s="108"/>
      <c r="FX33" s="108"/>
      <c r="FY33" s="108"/>
      <c r="FZ33" s="108"/>
      <c r="GA33" s="108"/>
      <c r="GB33" s="108"/>
      <c r="GC33" s="108"/>
      <c r="GD33" s="108"/>
      <c r="GE33" s="108"/>
      <c r="GF33" s="108"/>
      <c r="GG33" s="108"/>
      <c r="GH33" s="108"/>
      <c r="GI33" s="108"/>
      <c r="GJ33" s="108"/>
      <c r="GK33" s="108"/>
      <c r="GL33" s="108"/>
      <c r="GM33" s="108"/>
      <c r="GN33" s="108"/>
      <c r="GO33" s="108"/>
      <c r="GP33" s="108"/>
      <c r="GQ33" s="108"/>
      <c r="GR33" s="108"/>
      <c r="GS33" s="108"/>
      <c r="GT33" s="108"/>
      <c r="GU33" s="108"/>
      <c r="GV33" s="108"/>
      <c r="GW33" s="108"/>
      <c r="GX33" s="108"/>
      <c r="GY33" s="108"/>
      <c r="GZ33" s="108"/>
      <c r="HA33" s="108"/>
      <c r="HB33" s="108"/>
      <c r="HC33" s="108"/>
      <c r="HD33" s="108"/>
      <c r="HE33" s="108"/>
      <c r="HF33" s="108"/>
      <c r="HG33" s="108"/>
      <c r="HH33" s="108"/>
      <c r="HI33" s="108"/>
      <c r="HJ33" s="108"/>
      <c r="HK33" s="108"/>
      <c r="HL33" s="108"/>
      <c r="HM33" s="108"/>
      <c r="HN33" s="108"/>
      <c r="HO33" s="108"/>
      <c r="HP33" s="108"/>
      <c r="HQ33" s="108"/>
      <c r="HR33" s="108"/>
      <c r="HS33" s="108"/>
      <c r="HT33" s="108"/>
      <c r="HU33" s="108"/>
      <c r="HV33" s="108"/>
      <c r="HW33" s="108"/>
      <c r="HX33" s="108"/>
      <c r="HY33" s="108"/>
      <c r="HZ33" s="108"/>
      <c r="IA33" s="108"/>
      <c r="IB33" s="108"/>
      <c r="IC33" s="108"/>
      <c r="ID33" s="108"/>
      <c r="IE33" s="108"/>
      <c r="IF33" s="108"/>
      <c r="IG33" s="108"/>
      <c r="IH33" s="108"/>
      <c r="II33" s="108"/>
      <c r="IJ33" s="108"/>
      <c r="IK33" s="108"/>
      <c r="IL33" s="108"/>
      <c r="IM33" s="108"/>
      <c r="IN33" s="108"/>
      <c r="IO33" s="108"/>
      <c r="IP33" s="108"/>
      <c r="IQ33" s="108"/>
      <c r="IR33" s="108"/>
      <c r="IS33" s="108"/>
      <c r="IT33" s="108"/>
      <c r="IU33" s="108"/>
      <c r="IV33" s="108"/>
    </row>
    <row r="34" spans="1:256" ht="8.1" customHeight="1" x14ac:dyDescent="0.35">
      <c r="A34" s="108"/>
      <c r="B34" s="107"/>
      <c r="C34" s="132"/>
      <c r="D34" s="509"/>
      <c r="E34" s="402"/>
      <c r="F34" s="593"/>
      <c r="G34" s="402"/>
      <c r="H34" s="108"/>
      <c r="I34" s="108"/>
      <c r="J34" s="108"/>
      <c r="K34" s="108"/>
      <c r="L34" s="108"/>
      <c r="M34" s="108"/>
      <c r="N34" s="108"/>
      <c r="O34" s="108"/>
      <c r="P34" s="108"/>
      <c r="Q34" s="108"/>
      <c r="R34" s="108"/>
      <c r="S34" s="108"/>
      <c r="T34" s="108"/>
      <c r="U34" s="108"/>
      <c r="V34" s="108"/>
      <c r="W34" s="108"/>
      <c r="X34" s="108"/>
      <c r="Y34" s="108"/>
      <c r="Z34" s="108"/>
      <c r="AA34" s="108"/>
      <c r="AB34" s="108"/>
      <c r="AC34" s="108"/>
      <c r="AD34" s="108"/>
      <c r="AE34" s="108"/>
      <c r="AF34" s="108"/>
      <c r="AG34" s="108"/>
      <c r="AH34" s="108"/>
      <c r="AI34" s="108"/>
      <c r="AJ34" s="108"/>
      <c r="AK34" s="108"/>
      <c r="AL34" s="108"/>
      <c r="AM34" s="108"/>
      <c r="AN34" s="108"/>
      <c r="AO34" s="108"/>
      <c r="AP34" s="108"/>
      <c r="AQ34" s="108"/>
      <c r="AR34" s="108"/>
      <c r="AS34" s="108"/>
      <c r="AT34" s="108"/>
      <c r="AU34" s="108"/>
      <c r="AV34" s="108"/>
      <c r="AW34" s="108"/>
      <c r="AX34" s="108"/>
      <c r="AY34" s="108"/>
      <c r="AZ34" s="108"/>
      <c r="BA34" s="108"/>
      <c r="BB34" s="108"/>
      <c r="BC34" s="108"/>
      <c r="BD34" s="108"/>
      <c r="BE34" s="108"/>
      <c r="BF34" s="108"/>
      <c r="BG34" s="108"/>
      <c r="BH34" s="108"/>
      <c r="BI34" s="108"/>
      <c r="BJ34" s="108"/>
      <c r="BK34" s="108"/>
      <c r="BL34" s="108"/>
      <c r="BM34" s="108"/>
      <c r="BN34" s="108"/>
      <c r="BO34" s="108"/>
      <c r="BP34" s="108"/>
      <c r="BQ34" s="108"/>
      <c r="BR34" s="108"/>
      <c r="BS34" s="108"/>
      <c r="BT34" s="108"/>
      <c r="BU34" s="108"/>
      <c r="BV34" s="108"/>
      <c r="BW34" s="108"/>
      <c r="BX34" s="108"/>
      <c r="BY34" s="108"/>
      <c r="BZ34" s="108"/>
      <c r="CA34" s="108"/>
      <c r="CB34" s="108"/>
      <c r="CC34" s="108"/>
      <c r="CD34" s="108"/>
      <c r="CE34" s="108"/>
      <c r="CF34" s="108"/>
      <c r="CG34" s="108"/>
      <c r="CH34" s="108"/>
      <c r="CI34" s="108"/>
      <c r="CJ34" s="108"/>
      <c r="CK34" s="108"/>
      <c r="CL34" s="108"/>
      <c r="CM34" s="108"/>
      <c r="CN34" s="108"/>
      <c r="CO34" s="108"/>
      <c r="CP34" s="108"/>
      <c r="CQ34" s="108"/>
      <c r="CR34" s="108"/>
      <c r="CS34" s="108"/>
      <c r="CT34" s="108"/>
      <c r="CU34" s="108"/>
      <c r="CV34" s="108"/>
      <c r="CW34" s="108"/>
      <c r="CX34" s="108"/>
      <c r="CY34" s="108"/>
      <c r="CZ34" s="108"/>
      <c r="DA34" s="108"/>
      <c r="DB34" s="108"/>
      <c r="DC34" s="108"/>
      <c r="DD34" s="108"/>
      <c r="DE34" s="108"/>
      <c r="DF34" s="108"/>
      <c r="DG34" s="108"/>
      <c r="DH34" s="108"/>
      <c r="DI34" s="108"/>
      <c r="DJ34" s="108"/>
      <c r="DK34" s="108"/>
      <c r="DL34" s="108"/>
      <c r="DM34" s="108"/>
      <c r="DN34" s="108"/>
      <c r="DO34" s="108"/>
      <c r="DP34" s="108"/>
      <c r="DQ34" s="108"/>
      <c r="DR34" s="108"/>
      <c r="DS34" s="108"/>
      <c r="DT34" s="108"/>
      <c r="DU34" s="108"/>
      <c r="DV34" s="108"/>
      <c r="DW34" s="108"/>
      <c r="DX34" s="108"/>
      <c r="DY34" s="108"/>
      <c r="DZ34" s="108"/>
      <c r="EA34" s="108"/>
      <c r="EB34" s="108"/>
      <c r="EC34" s="108"/>
      <c r="ED34" s="108"/>
      <c r="EE34" s="108"/>
      <c r="EF34" s="108"/>
      <c r="EG34" s="108"/>
      <c r="EH34" s="108"/>
      <c r="EI34" s="108"/>
      <c r="EJ34" s="108"/>
      <c r="EK34" s="108"/>
      <c r="EL34" s="108"/>
      <c r="EM34" s="108"/>
      <c r="EN34" s="108"/>
      <c r="EO34" s="108"/>
      <c r="EP34" s="108"/>
      <c r="EQ34" s="108"/>
      <c r="ER34" s="108"/>
      <c r="ES34" s="108"/>
      <c r="ET34" s="108"/>
      <c r="EU34" s="108"/>
      <c r="EV34" s="108"/>
      <c r="EW34" s="108"/>
      <c r="EX34" s="108"/>
      <c r="EY34" s="108"/>
      <c r="EZ34" s="108"/>
      <c r="FA34" s="108"/>
      <c r="FB34" s="108"/>
      <c r="FC34" s="108"/>
      <c r="FD34" s="108"/>
      <c r="FE34" s="108"/>
      <c r="FF34" s="108"/>
      <c r="FG34" s="108"/>
      <c r="FH34" s="108"/>
      <c r="FI34" s="108"/>
      <c r="FJ34" s="108"/>
      <c r="FK34" s="108"/>
      <c r="FL34" s="108"/>
      <c r="FM34" s="108"/>
      <c r="FN34" s="108"/>
      <c r="FO34" s="108"/>
      <c r="FP34" s="108"/>
      <c r="FQ34" s="108"/>
      <c r="FR34" s="108"/>
      <c r="FS34" s="108"/>
      <c r="FT34" s="108"/>
      <c r="FU34" s="108"/>
      <c r="FV34" s="108"/>
      <c r="FW34" s="108"/>
      <c r="FX34" s="108"/>
      <c r="FY34" s="108"/>
      <c r="FZ34" s="108"/>
      <c r="GA34" s="108"/>
      <c r="GB34" s="108"/>
      <c r="GC34" s="108"/>
      <c r="GD34" s="108"/>
      <c r="GE34" s="108"/>
      <c r="GF34" s="108"/>
      <c r="GG34" s="108"/>
      <c r="GH34" s="108"/>
      <c r="GI34" s="108"/>
      <c r="GJ34" s="108"/>
      <c r="GK34" s="108"/>
      <c r="GL34" s="108"/>
      <c r="GM34" s="108"/>
      <c r="GN34" s="108"/>
      <c r="GO34" s="108"/>
      <c r="GP34" s="108"/>
      <c r="GQ34" s="108"/>
      <c r="GR34" s="108"/>
      <c r="GS34" s="108"/>
      <c r="GT34" s="108"/>
      <c r="GU34" s="108"/>
      <c r="GV34" s="108"/>
      <c r="GW34" s="108"/>
      <c r="GX34" s="108"/>
      <c r="GY34" s="108"/>
      <c r="GZ34" s="108"/>
      <c r="HA34" s="108"/>
      <c r="HB34" s="108"/>
      <c r="HC34" s="108"/>
      <c r="HD34" s="108"/>
      <c r="HE34" s="108"/>
      <c r="HF34" s="108"/>
      <c r="HG34" s="108"/>
      <c r="HH34" s="108"/>
      <c r="HI34" s="108"/>
      <c r="HJ34" s="108"/>
      <c r="HK34" s="108"/>
      <c r="HL34" s="108"/>
      <c r="HM34" s="108"/>
      <c r="HN34" s="108"/>
      <c r="HO34" s="108"/>
      <c r="HP34" s="108"/>
      <c r="HQ34" s="108"/>
      <c r="HR34" s="108"/>
      <c r="HS34" s="108"/>
      <c r="HT34" s="108"/>
      <c r="HU34" s="108"/>
      <c r="HV34" s="108"/>
      <c r="HW34" s="108"/>
      <c r="HX34" s="108"/>
      <c r="HY34" s="108"/>
      <c r="HZ34" s="108"/>
      <c r="IA34" s="108"/>
      <c r="IB34" s="108"/>
      <c r="IC34" s="108"/>
      <c r="ID34" s="108"/>
      <c r="IE34" s="108"/>
      <c r="IF34" s="108"/>
      <c r="IG34" s="108"/>
      <c r="IH34" s="108"/>
      <c r="II34" s="108"/>
      <c r="IJ34" s="108"/>
      <c r="IK34" s="108"/>
      <c r="IL34" s="108"/>
      <c r="IM34" s="108"/>
      <c r="IN34" s="108"/>
      <c r="IO34" s="108"/>
      <c r="IP34" s="108"/>
      <c r="IQ34" s="108"/>
      <c r="IR34" s="108"/>
      <c r="IS34" s="108"/>
      <c r="IT34" s="108"/>
      <c r="IU34" s="108"/>
      <c r="IV34" s="108"/>
    </row>
    <row r="35" spans="1:256" ht="15" customHeight="1" x14ac:dyDescent="0.25">
      <c r="A35" s="108"/>
      <c r="B35" s="107"/>
      <c r="C35" s="115"/>
      <c r="D35" s="509" t="s">
        <v>68</v>
      </c>
      <c r="E35" s="402" t="s">
        <v>371</v>
      </c>
      <c r="F35" s="509">
        <v>33</v>
      </c>
      <c r="G35" s="402" t="s">
        <v>645</v>
      </c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  <c r="BM35" s="108"/>
      <c r="BN35" s="108"/>
      <c r="BO35" s="108"/>
      <c r="BP35" s="108"/>
      <c r="BQ35" s="108"/>
      <c r="BR35" s="108"/>
      <c r="BS35" s="108"/>
      <c r="BT35" s="108"/>
      <c r="BU35" s="108"/>
      <c r="BV35" s="108"/>
      <c r="BW35" s="108"/>
      <c r="BX35" s="108"/>
      <c r="BY35" s="108"/>
      <c r="BZ35" s="108"/>
      <c r="CA35" s="108"/>
      <c r="CB35" s="108"/>
      <c r="CC35" s="108"/>
      <c r="CD35" s="108"/>
      <c r="CE35" s="108"/>
      <c r="CF35" s="108"/>
      <c r="CG35" s="108"/>
      <c r="CH35" s="108"/>
      <c r="CI35" s="108"/>
      <c r="CJ35" s="108"/>
      <c r="CK35" s="108"/>
      <c r="CL35" s="108"/>
      <c r="CM35" s="108"/>
      <c r="CN35" s="108"/>
      <c r="CO35" s="108"/>
      <c r="CP35" s="108"/>
      <c r="CQ35" s="108"/>
      <c r="CR35" s="108"/>
      <c r="CS35" s="108"/>
      <c r="CT35" s="108"/>
      <c r="CU35" s="108"/>
      <c r="CV35" s="108"/>
      <c r="CW35" s="108"/>
      <c r="CX35" s="108"/>
      <c r="CY35" s="108"/>
      <c r="CZ35" s="108"/>
      <c r="DA35" s="108"/>
      <c r="DB35" s="108"/>
      <c r="DC35" s="108"/>
      <c r="DD35" s="108"/>
      <c r="DE35" s="108"/>
      <c r="DF35" s="108"/>
      <c r="DG35" s="108"/>
      <c r="DH35" s="108"/>
      <c r="DI35" s="108"/>
      <c r="DJ35" s="108"/>
      <c r="DK35" s="108"/>
      <c r="DL35" s="108"/>
      <c r="DM35" s="108"/>
      <c r="DN35" s="108"/>
      <c r="DO35" s="108"/>
      <c r="DP35" s="108"/>
      <c r="DQ35" s="108"/>
      <c r="DR35" s="108"/>
      <c r="DS35" s="108"/>
      <c r="DT35" s="108"/>
      <c r="DU35" s="108"/>
      <c r="DV35" s="108"/>
      <c r="DW35" s="108"/>
      <c r="DX35" s="108"/>
      <c r="DY35" s="108"/>
      <c r="DZ35" s="108"/>
      <c r="EA35" s="108"/>
      <c r="EB35" s="108"/>
      <c r="EC35" s="108"/>
      <c r="ED35" s="108"/>
      <c r="EE35" s="108"/>
      <c r="EF35" s="108"/>
      <c r="EG35" s="108"/>
      <c r="EH35" s="108"/>
      <c r="EI35" s="108"/>
      <c r="EJ35" s="108"/>
      <c r="EK35" s="108"/>
      <c r="EL35" s="108"/>
      <c r="EM35" s="108"/>
      <c r="EN35" s="108"/>
      <c r="EO35" s="108"/>
      <c r="EP35" s="108"/>
      <c r="EQ35" s="108"/>
      <c r="ER35" s="108"/>
      <c r="ES35" s="108"/>
      <c r="ET35" s="108"/>
      <c r="EU35" s="108"/>
      <c r="EV35" s="108"/>
      <c r="EW35" s="108"/>
      <c r="EX35" s="108"/>
      <c r="EY35" s="108"/>
      <c r="EZ35" s="108"/>
      <c r="FA35" s="108"/>
      <c r="FB35" s="108"/>
      <c r="FC35" s="108"/>
      <c r="FD35" s="108"/>
      <c r="FE35" s="108"/>
      <c r="FF35" s="108"/>
      <c r="FG35" s="108"/>
      <c r="FH35" s="108"/>
      <c r="FI35" s="108"/>
      <c r="FJ35" s="108"/>
      <c r="FK35" s="108"/>
      <c r="FL35" s="108"/>
      <c r="FM35" s="108"/>
      <c r="FN35" s="108"/>
      <c r="FO35" s="108"/>
      <c r="FP35" s="108"/>
      <c r="FQ35" s="108"/>
      <c r="FR35" s="108"/>
      <c r="FS35" s="108"/>
      <c r="FT35" s="108"/>
      <c r="FU35" s="108"/>
      <c r="FV35" s="108"/>
      <c r="FW35" s="108"/>
      <c r="FX35" s="108"/>
      <c r="FY35" s="108"/>
      <c r="FZ35" s="108"/>
      <c r="GA35" s="108"/>
      <c r="GB35" s="108"/>
      <c r="GC35" s="108"/>
      <c r="GD35" s="108"/>
      <c r="GE35" s="108"/>
      <c r="GF35" s="108"/>
      <c r="GG35" s="108"/>
      <c r="GH35" s="108"/>
      <c r="GI35" s="108"/>
      <c r="GJ35" s="108"/>
      <c r="GK35" s="108"/>
      <c r="GL35" s="108"/>
      <c r="GM35" s="108"/>
      <c r="GN35" s="108"/>
      <c r="GO35" s="108"/>
      <c r="GP35" s="108"/>
      <c r="GQ35" s="108"/>
      <c r="GR35" s="108"/>
      <c r="GS35" s="108"/>
      <c r="GT35" s="108"/>
      <c r="GU35" s="108"/>
      <c r="GV35" s="108"/>
      <c r="GW35" s="108"/>
      <c r="GX35" s="108"/>
      <c r="GY35" s="108"/>
      <c r="GZ35" s="108"/>
      <c r="HA35" s="108"/>
      <c r="HB35" s="108"/>
      <c r="HC35" s="108"/>
      <c r="HD35" s="108"/>
      <c r="HE35" s="108"/>
      <c r="HF35" s="108"/>
      <c r="HG35" s="108"/>
      <c r="HH35" s="108"/>
      <c r="HI35" s="108"/>
      <c r="HJ35" s="108"/>
      <c r="HK35" s="108"/>
      <c r="HL35" s="108"/>
      <c r="HM35" s="108"/>
      <c r="HN35" s="108"/>
      <c r="HO35" s="108"/>
      <c r="HP35" s="108"/>
      <c r="HQ35" s="108"/>
      <c r="HR35" s="108"/>
      <c r="HS35" s="108"/>
      <c r="HT35" s="108"/>
      <c r="HU35" s="108"/>
      <c r="HV35" s="108"/>
      <c r="HW35" s="108"/>
      <c r="HX35" s="108"/>
      <c r="HY35" s="108"/>
      <c r="HZ35" s="108"/>
      <c r="IA35" s="108"/>
      <c r="IB35" s="108"/>
      <c r="IC35" s="108"/>
      <c r="ID35" s="108"/>
      <c r="IE35" s="108"/>
      <c r="IF35" s="108"/>
      <c r="IG35" s="108"/>
      <c r="IH35" s="108"/>
      <c r="II35" s="108"/>
      <c r="IJ35" s="108"/>
      <c r="IK35" s="108"/>
      <c r="IL35" s="108"/>
      <c r="IM35" s="108"/>
      <c r="IN35" s="108"/>
      <c r="IO35" s="108"/>
      <c r="IP35" s="108"/>
      <c r="IQ35" s="108"/>
      <c r="IR35" s="108"/>
      <c r="IS35" s="108"/>
      <c r="IT35" s="108"/>
      <c r="IU35" s="108"/>
      <c r="IV35" s="108"/>
    </row>
    <row r="36" spans="1:256" ht="8.1" customHeight="1" x14ac:dyDescent="0.35">
      <c r="A36" s="108"/>
      <c r="B36" s="107"/>
      <c r="C36" s="132"/>
      <c r="D36" s="509"/>
      <c r="E36" s="402"/>
      <c r="F36" s="593"/>
      <c r="G36" s="402"/>
      <c r="H36" s="108"/>
      <c r="I36" s="108"/>
      <c r="J36" s="108"/>
      <c r="K36" s="108"/>
      <c r="L36" s="108"/>
      <c r="M36" s="108"/>
      <c r="N36" s="108"/>
      <c r="O36" s="108"/>
      <c r="P36" s="108"/>
      <c r="Q36" s="108"/>
      <c r="R36" s="108"/>
      <c r="S36" s="108"/>
      <c r="T36" s="108"/>
      <c r="U36" s="108"/>
      <c r="V36" s="108"/>
      <c r="W36" s="108"/>
      <c r="X36" s="108"/>
      <c r="Y36" s="108"/>
      <c r="Z36" s="108"/>
      <c r="AA36" s="108"/>
      <c r="AB36" s="108"/>
      <c r="AC36" s="108"/>
      <c r="AD36" s="108"/>
      <c r="AE36" s="108"/>
      <c r="AF36" s="108"/>
      <c r="AG36" s="108"/>
      <c r="AH36" s="108"/>
      <c r="AI36" s="108"/>
      <c r="AJ36" s="108"/>
      <c r="AK36" s="108"/>
      <c r="AL36" s="108"/>
      <c r="AM36" s="108"/>
      <c r="AN36" s="108"/>
      <c r="AO36" s="108"/>
      <c r="AP36" s="108"/>
      <c r="AQ36" s="108"/>
      <c r="AR36" s="108"/>
      <c r="AS36" s="108"/>
      <c r="AT36" s="108"/>
      <c r="AU36" s="108"/>
      <c r="AV36" s="108"/>
      <c r="AW36" s="108"/>
      <c r="AX36" s="108"/>
      <c r="AY36" s="108"/>
      <c r="AZ36" s="108"/>
      <c r="BA36" s="108"/>
      <c r="BB36" s="108"/>
      <c r="BC36" s="108"/>
      <c r="BD36" s="108"/>
      <c r="BE36" s="108"/>
      <c r="BF36" s="108"/>
      <c r="BG36" s="108"/>
      <c r="BH36" s="108"/>
      <c r="BI36" s="108"/>
      <c r="BJ36" s="108"/>
      <c r="BK36" s="108"/>
      <c r="BL36" s="108"/>
      <c r="BM36" s="108"/>
      <c r="BN36" s="108"/>
      <c r="BO36" s="108"/>
      <c r="BP36" s="108"/>
      <c r="BQ36" s="108"/>
      <c r="BR36" s="108"/>
      <c r="BS36" s="108"/>
      <c r="BT36" s="108"/>
      <c r="BU36" s="108"/>
      <c r="BV36" s="108"/>
      <c r="BW36" s="108"/>
      <c r="BX36" s="108"/>
      <c r="BY36" s="108"/>
      <c r="BZ36" s="108"/>
      <c r="CA36" s="108"/>
      <c r="CB36" s="108"/>
      <c r="CC36" s="108"/>
      <c r="CD36" s="108"/>
      <c r="CE36" s="108"/>
      <c r="CF36" s="108"/>
      <c r="CG36" s="108"/>
      <c r="CH36" s="108"/>
      <c r="CI36" s="108"/>
      <c r="CJ36" s="108"/>
      <c r="CK36" s="108"/>
      <c r="CL36" s="108"/>
      <c r="CM36" s="108"/>
      <c r="CN36" s="108"/>
      <c r="CO36" s="108"/>
      <c r="CP36" s="108"/>
      <c r="CQ36" s="108"/>
      <c r="CR36" s="108"/>
      <c r="CS36" s="108"/>
      <c r="CT36" s="108"/>
      <c r="CU36" s="108"/>
      <c r="CV36" s="108"/>
      <c r="CW36" s="108"/>
      <c r="CX36" s="108"/>
      <c r="CY36" s="108"/>
      <c r="CZ36" s="108"/>
      <c r="DA36" s="108"/>
      <c r="DB36" s="108"/>
      <c r="DC36" s="108"/>
      <c r="DD36" s="108"/>
      <c r="DE36" s="108"/>
      <c r="DF36" s="108"/>
      <c r="DG36" s="108"/>
      <c r="DH36" s="108"/>
      <c r="DI36" s="108"/>
      <c r="DJ36" s="108"/>
      <c r="DK36" s="108"/>
      <c r="DL36" s="108"/>
      <c r="DM36" s="108"/>
      <c r="DN36" s="108"/>
      <c r="DO36" s="108"/>
      <c r="DP36" s="108"/>
      <c r="DQ36" s="108"/>
      <c r="DR36" s="108"/>
      <c r="DS36" s="108"/>
      <c r="DT36" s="108"/>
      <c r="DU36" s="108"/>
      <c r="DV36" s="108"/>
      <c r="DW36" s="108"/>
      <c r="DX36" s="108"/>
      <c r="DY36" s="108"/>
      <c r="DZ36" s="108"/>
      <c r="EA36" s="108"/>
      <c r="EB36" s="108"/>
      <c r="EC36" s="108"/>
      <c r="ED36" s="108"/>
      <c r="EE36" s="108"/>
      <c r="EF36" s="108"/>
      <c r="EG36" s="108"/>
      <c r="EH36" s="108"/>
      <c r="EI36" s="108"/>
      <c r="EJ36" s="108"/>
      <c r="EK36" s="108"/>
      <c r="EL36" s="108"/>
      <c r="EM36" s="108"/>
      <c r="EN36" s="108"/>
      <c r="EO36" s="108"/>
      <c r="EP36" s="108"/>
      <c r="EQ36" s="108"/>
      <c r="ER36" s="108"/>
      <c r="ES36" s="108"/>
      <c r="ET36" s="108"/>
      <c r="EU36" s="108"/>
      <c r="EV36" s="108"/>
      <c r="EW36" s="108"/>
      <c r="EX36" s="108"/>
      <c r="EY36" s="108"/>
      <c r="EZ36" s="108"/>
      <c r="FA36" s="108"/>
      <c r="FB36" s="108"/>
      <c r="FC36" s="108"/>
      <c r="FD36" s="108"/>
      <c r="FE36" s="108"/>
      <c r="FF36" s="108"/>
      <c r="FG36" s="108"/>
      <c r="FH36" s="108"/>
      <c r="FI36" s="108"/>
      <c r="FJ36" s="108"/>
      <c r="FK36" s="108"/>
      <c r="FL36" s="108"/>
      <c r="FM36" s="108"/>
      <c r="FN36" s="108"/>
      <c r="FO36" s="108"/>
      <c r="FP36" s="108"/>
      <c r="FQ36" s="108"/>
      <c r="FR36" s="108"/>
      <c r="FS36" s="108"/>
      <c r="FT36" s="108"/>
      <c r="FU36" s="108"/>
      <c r="FV36" s="108"/>
      <c r="FW36" s="108"/>
      <c r="FX36" s="108"/>
      <c r="FY36" s="108"/>
      <c r="FZ36" s="108"/>
      <c r="GA36" s="108"/>
      <c r="GB36" s="108"/>
      <c r="GC36" s="108"/>
      <c r="GD36" s="108"/>
      <c r="GE36" s="108"/>
      <c r="GF36" s="108"/>
      <c r="GG36" s="108"/>
      <c r="GH36" s="108"/>
      <c r="GI36" s="108"/>
      <c r="GJ36" s="108"/>
      <c r="GK36" s="108"/>
      <c r="GL36" s="108"/>
      <c r="GM36" s="108"/>
      <c r="GN36" s="108"/>
      <c r="GO36" s="108"/>
      <c r="GP36" s="108"/>
      <c r="GQ36" s="108"/>
      <c r="GR36" s="108"/>
      <c r="GS36" s="108"/>
      <c r="GT36" s="108"/>
      <c r="GU36" s="108"/>
      <c r="GV36" s="108"/>
      <c r="GW36" s="108"/>
      <c r="GX36" s="108"/>
      <c r="GY36" s="108"/>
      <c r="GZ36" s="108"/>
      <c r="HA36" s="108"/>
      <c r="HB36" s="108"/>
      <c r="HC36" s="108"/>
      <c r="HD36" s="108"/>
      <c r="HE36" s="108"/>
      <c r="HF36" s="108"/>
      <c r="HG36" s="108"/>
      <c r="HH36" s="108"/>
      <c r="HI36" s="108"/>
      <c r="HJ36" s="108"/>
      <c r="HK36" s="108"/>
      <c r="HL36" s="108"/>
      <c r="HM36" s="108"/>
      <c r="HN36" s="108"/>
      <c r="HO36" s="108"/>
      <c r="HP36" s="108"/>
      <c r="HQ36" s="108"/>
      <c r="HR36" s="108"/>
      <c r="HS36" s="108"/>
      <c r="HT36" s="108"/>
      <c r="HU36" s="108"/>
      <c r="HV36" s="108"/>
      <c r="HW36" s="108"/>
      <c r="HX36" s="108"/>
      <c r="HY36" s="108"/>
      <c r="HZ36" s="108"/>
      <c r="IA36" s="108"/>
      <c r="IB36" s="108"/>
      <c r="IC36" s="108"/>
      <c r="ID36" s="108"/>
      <c r="IE36" s="108"/>
      <c r="IF36" s="108"/>
      <c r="IG36" s="108"/>
      <c r="IH36" s="108"/>
      <c r="II36" s="108"/>
      <c r="IJ36" s="108"/>
      <c r="IK36" s="108"/>
      <c r="IL36" s="108"/>
      <c r="IM36" s="108"/>
      <c r="IN36" s="108"/>
      <c r="IO36" s="108"/>
      <c r="IP36" s="108"/>
      <c r="IQ36" s="108"/>
      <c r="IR36" s="108"/>
      <c r="IS36" s="108"/>
      <c r="IT36" s="108"/>
      <c r="IU36" s="108"/>
      <c r="IV36" s="108"/>
    </row>
    <row r="37" spans="1:256" ht="15" customHeight="1" x14ac:dyDescent="0.25">
      <c r="A37" s="108"/>
      <c r="B37" s="107"/>
      <c r="C37" s="115"/>
      <c r="D37" s="509" t="s">
        <v>69</v>
      </c>
      <c r="E37" s="402" t="s">
        <v>390</v>
      </c>
      <c r="F37" s="509">
        <v>34</v>
      </c>
      <c r="G37" s="402" t="s">
        <v>146</v>
      </c>
      <c r="H37" s="108"/>
      <c r="I37" s="108"/>
      <c r="J37" s="108"/>
      <c r="K37" s="108"/>
      <c r="L37" s="108"/>
      <c r="M37" s="108"/>
      <c r="N37" s="108"/>
      <c r="O37" s="108"/>
      <c r="P37" s="108"/>
      <c r="Q37" s="108"/>
      <c r="R37" s="108"/>
      <c r="S37" s="108"/>
      <c r="T37" s="108"/>
      <c r="U37" s="108"/>
      <c r="V37" s="108"/>
      <c r="W37" s="108"/>
      <c r="X37" s="108"/>
      <c r="Y37" s="108"/>
      <c r="Z37" s="108"/>
      <c r="AA37" s="108"/>
      <c r="AB37" s="108"/>
      <c r="AC37" s="108"/>
      <c r="AD37" s="108"/>
      <c r="AE37" s="108"/>
      <c r="AF37" s="108"/>
      <c r="AG37" s="108"/>
      <c r="AH37" s="108"/>
      <c r="AI37" s="108"/>
      <c r="AJ37" s="108"/>
      <c r="AK37" s="108"/>
      <c r="AL37" s="108"/>
      <c r="AM37" s="108"/>
      <c r="AN37" s="108"/>
      <c r="AO37" s="108"/>
      <c r="AP37" s="108"/>
      <c r="AQ37" s="108"/>
      <c r="AR37" s="108"/>
      <c r="AS37" s="108"/>
      <c r="AT37" s="108"/>
      <c r="AU37" s="108"/>
      <c r="AV37" s="108"/>
      <c r="AW37" s="108"/>
      <c r="AX37" s="108"/>
      <c r="AY37" s="108"/>
      <c r="AZ37" s="108"/>
      <c r="BA37" s="108"/>
      <c r="BB37" s="108"/>
      <c r="BC37" s="108"/>
      <c r="BD37" s="108"/>
      <c r="BE37" s="108"/>
      <c r="BF37" s="108"/>
      <c r="BG37" s="108"/>
      <c r="BH37" s="108"/>
      <c r="BI37" s="108"/>
      <c r="BJ37" s="108"/>
      <c r="BK37" s="108"/>
      <c r="BL37" s="108"/>
      <c r="BM37" s="108"/>
      <c r="BN37" s="108"/>
      <c r="BO37" s="108"/>
      <c r="BP37" s="108"/>
      <c r="BQ37" s="108"/>
      <c r="BR37" s="108"/>
      <c r="BS37" s="108"/>
      <c r="BT37" s="108"/>
      <c r="BU37" s="108"/>
      <c r="BV37" s="108"/>
      <c r="BW37" s="108"/>
      <c r="BX37" s="108"/>
      <c r="BY37" s="108"/>
      <c r="BZ37" s="108"/>
      <c r="CA37" s="108"/>
      <c r="CB37" s="108"/>
      <c r="CC37" s="108"/>
      <c r="CD37" s="108"/>
      <c r="CE37" s="108"/>
      <c r="CF37" s="108"/>
      <c r="CG37" s="108"/>
      <c r="CH37" s="108"/>
      <c r="CI37" s="108"/>
      <c r="CJ37" s="108"/>
      <c r="CK37" s="108"/>
      <c r="CL37" s="108"/>
      <c r="CM37" s="108"/>
      <c r="CN37" s="108"/>
      <c r="CO37" s="108"/>
      <c r="CP37" s="108"/>
      <c r="CQ37" s="108"/>
      <c r="CR37" s="108"/>
      <c r="CS37" s="108"/>
      <c r="CT37" s="108"/>
      <c r="CU37" s="108"/>
      <c r="CV37" s="108"/>
      <c r="CW37" s="108"/>
      <c r="CX37" s="108"/>
      <c r="CY37" s="108"/>
      <c r="CZ37" s="108"/>
      <c r="DA37" s="108"/>
      <c r="DB37" s="108"/>
      <c r="DC37" s="108"/>
      <c r="DD37" s="108"/>
      <c r="DE37" s="108"/>
      <c r="DF37" s="108"/>
      <c r="DG37" s="108"/>
      <c r="DH37" s="108"/>
      <c r="DI37" s="108"/>
      <c r="DJ37" s="108"/>
      <c r="DK37" s="108"/>
      <c r="DL37" s="108"/>
      <c r="DM37" s="108"/>
      <c r="DN37" s="108"/>
      <c r="DO37" s="108"/>
      <c r="DP37" s="108"/>
      <c r="DQ37" s="108"/>
      <c r="DR37" s="108"/>
      <c r="DS37" s="108"/>
      <c r="DT37" s="108"/>
      <c r="DU37" s="108"/>
      <c r="DV37" s="108"/>
      <c r="DW37" s="108"/>
      <c r="DX37" s="108"/>
      <c r="DY37" s="108"/>
      <c r="DZ37" s="108"/>
      <c r="EA37" s="108"/>
      <c r="EB37" s="108"/>
      <c r="EC37" s="108"/>
      <c r="ED37" s="108"/>
      <c r="EE37" s="108"/>
      <c r="EF37" s="108"/>
      <c r="EG37" s="108"/>
      <c r="EH37" s="108"/>
      <c r="EI37" s="108"/>
      <c r="EJ37" s="108"/>
      <c r="EK37" s="108"/>
      <c r="EL37" s="108"/>
      <c r="EM37" s="108"/>
      <c r="EN37" s="108"/>
      <c r="EO37" s="108"/>
      <c r="EP37" s="108"/>
      <c r="EQ37" s="108"/>
      <c r="ER37" s="108"/>
      <c r="ES37" s="108"/>
      <c r="ET37" s="108"/>
      <c r="EU37" s="108"/>
      <c r="EV37" s="108"/>
      <c r="EW37" s="108"/>
      <c r="EX37" s="108"/>
      <c r="EY37" s="108"/>
      <c r="EZ37" s="108"/>
      <c r="FA37" s="108"/>
      <c r="FB37" s="108"/>
      <c r="FC37" s="108"/>
      <c r="FD37" s="108"/>
      <c r="FE37" s="108"/>
      <c r="FF37" s="108"/>
      <c r="FG37" s="108"/>
      <c r="FH37" s="108"/>
      <c r="FI37" s="108"/>
      <c r="FJ37" s="108"/>
      <c r="FK37" s="108"/>
      <c r="FL37" s="108"/>
      <c r="FM37" s="108"/>
      <c r="FN37" s="108"/>
      <c r="FO37" s="108"/>
      <c r="FP37" s="108"/>
      <c r="FQ37" s="108"/>
      <c r="FR37" s="108"/>
      <c r="FS37" s="108"/>
      <c r="FT37" s="108"/>
      <c r="FU37" s="108"/>
      <c r="FV37" s="108"/>
      <c r="FW37" s="108"/>
      <c r="FX37" s="108"/>
      <c r="FY37" s="108"/>
      <c r="FZ37" s="108"/>
      <c r="GA37" s="108"/>
      <c r="GB37" s="108"/>
      <c r="GC37" s="108"/>
      <c r="GD37" s="108"/>
      <c r="GE37" s="108"/>
      <c r="GF37" s="108"/>
      <c r="GG37" s="108"/>
      <c r="GH37" s="108"/>
      <c r="GI37" s="108"/>
      <c r="GJ37" s="108"/>
      <c r="GK37" s="108"/>
      <c r="GL37" s="108"/>
      <c r="GM37" s="108"/>
      <c r="GN37" s="108"/>
      <c r="GO37" s="108"/>
      <c r="GP37" s="108"/>
      <c r="GQ37" s="108"/>
      <c r="GR37" s="108"/>
      <c r="GS37" s="108"/>
      <c r="GT37" s="108"/>
      <c r="GU37" s="108"/>
      <c r="GV37" s="108"/>
      <c r="GW37" s="108"/>
      <c r="GX37" s="108"/>
      <c r="GY37" s="108"/>
      <c r="GZ37" s="108"/>
      <c r="HA37" s="108"/>
      <c r="HB37" s="108"/>
      <c r="HC37" s="108"/>
      <c r="HD37" s="108"/>
      <c r="HE37" s="108"/>
      <c r="HF37" s="108"/>
      <c r="HG37" s="108"/>
      <c r="HH37" s="108"/>
      <c r="HI37" s="108"/>
      <c r="HJ37" s="108"/>
      <c r="HK37" s="108"/>
      <c r="HL37" s="108"/>
      <c r="HM37" s="108"/>
      <c r="HN37" s="108"/>
      <c r="HO37" s="108"/>
      <c r="HP37" s="108"/>
      <c r="HQ37" s="108"/>
      <c r="HR37" s="108"/>
      <c r="HS37" s="108"/>
      <c r="HT37" s="108"/>
      <c r="HU37" s="108"/>
      <c r="HV37" s="108"/>
      <c r="HW37" s="108"/>
      <c r="HX37" s="108"/>
      <c r="HY37" s="108"/>
      <c r="HZ37" s="108"/>
      <c r="IA37" s="108"/>
      <c r="IB37" s="108"/>
      <c r="IC37" s="108"/>
      <c r="ID37" s="108"/>
      <c r="IE37" s="108"/>
      <c r="IF37" s="108"/>
      <c r="IG37" s="108"/>
      <c r="IH37" s="108"/>
      <c r="II37" s="108"/>
      <c r="IJ37" s="108"/>
      <c r="IK37" s="108"/>
      <c r="IL37" s="108"/>
      <c r="IM37" s="108"/>
      <c r="IN37" s="108"/>
      <c r="IO37" s="108"/>
      <c r="IP37" s="108"/>
      <c r="IQ37" s="108"/>
      <c r="IR37" s="108"/>
      <c r="IS37" s="108"/>
      <c r="IT37" s="108"/>
      <c r="IU37" s="108"/>
      <c r="IV37" s="108"/>
    </row>
    <row r="38" spans="1:256" ht="8.1" customHeight="1" x14ac:dyDescent="0.35">
      <c r="A38" s="108"/>
      <c r="B38" s="107"/>
      <c r="C38" s="132"/>
      <c r="D38" s="509"/>
      <c r="E38" s="402"/>
      <c r="F38" s="593"/>
      <c r="G38" s="402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8"/>
      <c r="AE38" s="108"/>
      <c r="AF38" s="108"/>
      <c r="AG38" s="108"/>
      <c r="AH38" s="108"/>
      <c r="AI38" s="108"/>
      <c r="AJ38" s="108"/>
      <c r="AK38" s="108"/>
      <c r="AL38" s="108"/>
      <c r="AM38" s="108"/>
      <c r="AN38" s="108"/>
      <c r="AO38" s="108"/>
      <c r="AP38" s="108"/>
      <c r="AQ38" s="108"/>
      <c r="AR38" s="108"/>
      <c r="AS38" s="108"/>
      <c r="AT38" s="108"/>
      <c r="AU38" s="108"/>
      <c r="AV38" s="108"/>
      <c r="AW38" s="108"/>
      <c r="AX38" s="108"/>
      <c r="AY38" s="108"/>
      <c r="AZ38" s="108"/>
      <c r="BA38" s="108"/>
      <c r="BB38" s="108"/>
      <c r="BC38" s="108"/>
      <c r="BD38" s="108"/>
      <c r="BE38" s="108"/>
      <c r="BF38" s="108"/>
      <c r="BG38" s="108"/>
      <c r="BH38" s="108"/>
      <c r="BI38" s="108"/>
      <c r="BJ38" s="108"/>
      <c r="BK38" s="108"/>
      <c r="BL38" s="108"/>
      <c r="BM38" s="108"/>
      <c r="BN38" s="108"/>
      <c r="BO38" s="108"/>
      <c r="BP38" s="108"/>
      <c r="BQ38" s="108"/>
      <c r="BR38" s="108"/>
      <c r="BS38" s="108"/>
      <c r="BT38" s="108"/>
      <c r="BU38" s="108"/>
      <c r="BV38" s="108"/>
      <c r="BW38" s="108"/>
      <c r="BX38" s="108"/>
      <c r="BY38" s="108"/>
      <c r="BZ38" s="108"/>
      <c r="CA38" s="108"/>
      <c r="CB38" s="108"/>
      <c r="CC38" s="108"/>
      <c r="CD38" s="108"/>
      <c r="CE38" s="108"/>
      <c r="CF38" s="108"/>
      <c r="CG38" s="108"/>
      <c r="CH38" s="108"/>
      <c r="CI38" s="108"/>
      <c r="CJ38" s="108"/>
      <c r="CK38" s="108"/>
      <c r="CL38" s="108"/>
      <c r="CM38" s="108"/>
      <c r="CN38" s="108"/>
      <c r="CO38" s="108"/>
      <c r="CP38" s="108"/>
      <c r="CQ38" s="108"/>
      <c r="CR38" s="108"/>
      <c r="CS38" s="108"/>
      <c r="CT38" s="108"/>
      <c r="CU38" s="108"/>
      <c r="CV38" s="108"/>
      <c r="CW38" s="108"/>
      <c r="CX38" s="108"/>
      <c r="CY38" s="108"/>
      <c r="CZ38" s="108"/>
      <c r="DA38" s="108"/>
      <c r="DB38" s="108"/>
      <c r="DC38" s="108"/>
      <c r="DD38" s="108"/>
      <c r="DE38" s="108"/>
      <c r="DF38" s="108"/>
      <c r="DG38" s="108"/>
      <c r="DH38" s="108"/>
      <c r="DI38" s="108"/>
      <c r="DJ38" s="108"/>
      <c r="DK38" s="108"/>
      <c r="DL38" s="108"/>
      <c r="DM38" s="108"/>
      <c r="DN38" s="108"/>
      <c r="DO38" s="108"/>
      <c r="DP38" s="108"/>
      <c r="DQ38" s="108"/>
      <c r="DR38" s="108"/>
      <c r="DS38" s="108"/>
      <c r="DT38" s="108"/>
      <c r="DU38" s="108"/>
      <c r="DV38" s="108"/>
      <c r="DW38" s="108"/>
      <c r="DX38" s="108"/>
      <c r="DY38" s="108"/>
      <c r="DZ38" s="108"/>
      <c r="EA38" s="108"/>
      <c r="EB38" s="108"/>
      <c r="EC38" s="108"/>
      <c r="ED38" s="108"/>
      <c r="EE38" s="108"/>
      <c r="EF38" s="108"/>
      <c r="EG38" s="108"/>
      <c r="EH38" s="108"/>
      <c r="EI38" s="108"/>
      <c r="EJ38" s="108"/>
      <c r="EK38" s="108"/>
      <c r="EL38" s="108"/>
      <c r="EM38" s="108"/>
      <c r="EN38" s="108"/>
      <c r="EO38" s="108"/>
      <c r="EP38" s="108"/>
      <c r="EQ38" s="108"/>
      <c r="ER38" s="108"/>
      <c r="ES38" s="108"/>
      <c r="ET38" s="108"/>
      <c r="EU38" s="108"/>
      <c r="EV38" s="108"/>
      <c r="EW38" s="108"/>
      <c r="EX38" s="108"/>
      <c r="EY38" s="108"/>
      <c r="EZ38" s="108"/>
      <c r="FA38" s="108"/>
      <c r="FB38" s="108"/>
      <c r="FC38" s="108"/>
      <c r="FD38" s="108"/>
      <c r="FE38" s="108"/>
      <c r="FF38" s="108"/>
      <c r="FG38" s="108"/>
      <c r="FH38" s="108"/>
      <c r="FI38" s="108"/>
      <c r="FJ38" s="108"/>
      <c r="FK38" s="108"/>
      <c r="FL38" s="108"/>
      <c r="FM38" s="108"/>
      <c r="FN38" s="108"/>
      <c r="FO38" s="108"/>
      <c r="FP38" s="108"/>
      <c r="FQ38" s="108"/>
      <c r="FR38" s="108"/>
      <c r="FS38" s="108"/>
      <c r="FT38" s="108"/>
      <c r="FU38" s="108"/>
      <c r="FV38" s="108"/>
      <c r="FW38" s="108"/>
      <c r="FX38" s="108"/>
      <c r="FY38" s="108"/>
      <c r="FZ38" s="108"/>
      <c r="GA38" s="108"/>
      <c r="GB38" s="108"/>
      <c r="GC38" s="108"/>
      <c r="GD38" s="108"/>
      <c r="GE38" s="108"/>
      <c r="GF38" s="108"/>
      <c r="GG38" s="108"/>
      <c r="GH38" s="108"/>
      <c r="GI38" s="108"/>
      <c r="GJ38" s="108"/>
      <c r="GK38" s="108"/>
      <c r="GL38" s="108"/>
      <c r="GM38" s="108"/>
      <c r="GN38" s="108"/>
      <c r="GO38" s="108"/>
      <c r="GP38" s="108"/>
      <c r="GQ38" s="108"/>
      <c r="GR38" s="108"/>
      <c r="GS38" s="108"/>
      <c r="GT38" s="108"/>
      <c r="GU38" s="108"/>
      <c r="GV38" s="108"/>
      <c r="GW38" s="108"/>
      <c r="GX38" s="108"/>
      <c r="GY38" s="108"/>
      <c r="GZ38" s="108"/>
      <c r="HA38" s="108"/>
      <c r="HB38" s="108"/>
      <c r="HC38" s="108"/>
      <c r="HD38" s="108"/>
      <c r="HE38" s="108"/>
      <c r="HF38" s="108"/>
      <c r="HG38" s="108"/>
      <c r="HH38" s="108"/>
      <c r="HI38" s="108"/>
      <c r="HJ38" s="108"/>
      <c r="HK38" s="108"/>
      <c r="HL38" s="108"/>
      <c r="HM38" s="108"/>
      <c r="HN38" s="108"/>
      <c r="HO38" s="108"/>
      <c r="HP38" s="108"/>
      <c r="HQ38" s="108"/>
      <c r="HR38" s="108"/>
      <c r="HS38" s="108"/>
      <c r="HT38" s="108"/>
      <c r="HU38" s="108"/>
      <c r="HV38" s="108"/>
      <c r="HW38" s="108"/>
      <c r="HX38" s="108"/>
      <c r="HY38" s="108"/>
      <c r="HZ38" s="108"/>
      <c r="IA38" s="108"/>
      <c r="IB38" s="108"/>
      <c r="IC38" s="108"/>
      <c r="ID38" s="108"/>
      <c r="IE38" s="108"/>
      <c r="IF38" s="108"/>
      <c r="IG38" s="108"/>
      <c r="IH38" s="108"/>
      <c r="II38" s="108"/>
      <c r="IJ38" s="108"/>
      <c r="IK38" s="108"/>
      <c r="IL38" s="108"/>
      <c r="IM38" s="108"/>
      <c r="IN38" s="108"/>
      <c r="IO38" s="108"/>
      <c r="IP38" s="108"/>
      <c r="IQ38" s="108"/>
      <c r="IR38" s="108"/>
      <c r="IS38" s="108"/>
      <c r="IT38" s="108"/>
      <c r="IU38" s="108"/>
      <c r="IV38" s="108"/>
    </row>
    <row r="39" spans="1:256" ht="15" customHeight="1" x14ac:dyDescent="0.25">
      <c r="A39" s="108"/>
      <c r="B39" s="107"/>
      <c r="C39" s="115"/>
      <c r="D39" s="509">
        <v>16</v>
      </c>
      <c r="E39" s="402" t="s">
        <v>391</v>
      </c>
      <c r="F39" s="509">
        <v>35</v>
      </c>
      <c r="G39" s="402" t="s">
        <v>644</v>
      </c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8"/>
      <c r="AB39" s="108"/>
      <c r="AC39" s="108"/>
      <c r="AD39" s="108"/>
      <c r="AE39" s="108"/>
      <c r="AF39" s="108"/>
      <c r="AG39" s="108"/>
      <c r="AH39" s="108"/>
      <c r="AI39" s="108"/>
      <c r="AJ39" s="108"/>
      <c r="AK39" s="108"/>
      <c r="AL39" s="108"/>
      <c r="AM39" s="108"/>
      <c r="AN39" s="108"/>
      <c r="AO39" s="108"/>
      <c r="AP39" s="108"/>
      <c r="AQ39" s="108"/>
      <c r="AR39" s="108"/>
      <c r="AS39" s="108"/>
      <c r="AT39" s="108"/>
      <c r="AU39" s="108"/>
      <c r="AV39" s="108"/>
      <c r="AW39" s="108"/>
      <c r="AX39" s="108"/>
      <c r="AY39" s="108"/>
      <c r="AZ39" s="108"/>
      <c r="BA39" s="108"/>
      <c r="BB39" s="108"/>
      <c r="BC39" s="108"/>
      <c r="BD39" s="108"/>
      <c r="BE39" s="108"/>
      <c r="BF39" s="108"/>
      <c r="BG39" s="108"/>
      <c r="BH39" s="108"/>
      <c r="BI39" s="108"/>
      <c r="BJ39" s="108"/>
      <c r="BK39" s="108"/>
      <c r="BL39" s="108"/>
      <c r="BM39" s="108"/>
      <c r="BN39" s="108"/>
      <c r="BO39" s="108"/>
      <c r="BP39" s="108"/>
      <c r="BQ39" s="108"/>
      <c r="BR39" s="108"/>
      <c r="BS39" s="108"/>
      <c r="BT39" s="108"/>
      <c r="BU39" s="108"/>
      <c r="BV39" s="108"/>
      <c r="BW39" s="108"/>
      <c r="BX39" s="108"/>
      <c r="BY39" s="108"/>
      <c r="BZ39" s="108"/>
      <c r="CA39" s="108"/>
      <c r="CB39" s="108"/>
      <c r="CC39" s="108"/>
      <c r="CD39" s="108"/>
      <c r="CE39" s="108"/>
      <c r="CF39" s="108"/>
      <c r="CG39" s="108"/>
      <c r="CH39" s="108"/>
      <c r="CI39" s="108"/>
      <c r="CJ39" s="108"/>
      <c r="CK39" s="108"/>
      <c r="CL39" s="108"/>
      <c r="CM39" s="108"/>
      <c r="CN39" s="108"/>
      <c r="CO39" s="108"/>
      <c r="CP39" s="108"/>
      <c r="CQ39" s="108"/>
      <c r="CR39" s="108"/>
      <c r="CS39" s="108"/>
      <c r="CT39" s="108"/>
      <c r="CU39" s="108"/>
      <c r="CV39" s="108"/>
      <c r="CW39" s="108"/>
      <c r="CX39" s="108"/>
      <c r="CY39" s="108"/>
      <c r="CZ39" s="108"/>
      <c r="DA39" s="108"/>
      <c r="DB39" s="108"/>
      <c r="DC39" s="108"/>
      <c r="DD39" s="108"/>
      <c r="DE39" s="108"/>
      <c r="DF39" s="108"/>
      <c r="DG39" s="108"/>
      <c r="DH39" s="108"/>
      <c r="DI39" s="108"/>
      <c r="DJ39" s="108"/>
      <c r="DK39" s="108"/>
      <c r="DL39" s="108"/>
      <c r="DM39" s="108"/>
      <c r="DN39" s="108"/>
      <c r="DO39" s="108"/>
      <c r="DP39" s="108"/>
      <c r="DQ39" s="108"/>
      <c r="DR39" s="108"/>
      <c r="DS39" s="108"/>
      <c r="DT39" s="108"/>
      <c r="DU39" s="108"/>
      <c r="DV39" s="108"/>
      <c r="DW39" s="108"/>
      <c r="DX39" s="108"/>
      <c r="DY39" s="108"/>
      <c r="DZ39" s="108"/>
      <c r="EA39" s="108"/>
      <c r="EB39" s="108"/>
      <c r="EC39" s="108"/>
      <c r="ED39" s="108"/>
      <c r="EE39" s="108"/>
      <c r="EF39" s="108"/>
      <c r="EG39" s="108"/>
      <c r="EH39" s="108"/>
      <c r="EI39" s="108"/>
      <c r="EJ39" s="108"/>
      <c r="EK39" s="108"/>
      <c r="EL39" s="108"/>
      <c r="EM39" s="108"/>
      <c r="EN39" s="108"/>
      <c r="EO39" s="108"/>
      <c r="EP39" s="108"/>
      <c r="EQ39" s="108"/>
      <c r="ER39" s="108"/>
      <c r="ES39" s="108"/>
      <c r="ET39" s="108"/>
      <c r="EU39" s="108"/>
      <c r="EV39" s="108"/>
      <c r="EW39" s="108"/>
      <c r="EX39" s="108"/>
      <c r="EY39" s="108"/>
      <c r="EZ39" s="108"/>
      <c r="FA39" s="108"/>
      <c r="FB39" s="108"/>
      <c r="FC39" s="108"/>
      <c r="FD39" s="108"/>
      <c r="FE39" s="108"/>
      <c r="FF39" s="108"/>
      <c r="FG39" s="108"/>
      <c r="FH39" s="108"/>
      <c r="FI39" s="108"/>
      <c r="FJ39" s="108"/>
      <c r="FK39" s="108"/>
      <c r="FL39" s="108"/>
      <c r="FM39" s="108"/>
      <c r="FN39" s="108"/>
      <c r="FO39" s="108"/>
      <c r="FP39" s="108"/>
      <c r="FQ39" s="108"/>
      <c r="FR39" s="108"/>
      <c r="FS39" s="108"/>
      <c r="FT39" s="108"/>
      <c r="FU39" s="108"/>
      <c r="FV39" s="108"/>
      <c r="FW39" s="108"/>
      <c r="FX39" s="108"/>
      <c r="FY39" s="108"/>
      <c r="FZ39" s="108"/>
      <c r="GA39" s="108"/>
      <c r="GB39" s="108"/>
      <c r="GC39" s="108"/>
      <c r="GD39" s="108"/>
      <c r="GE39" s="108"/>
      <c r="GF39" s="108"/>
      <c r="GG39" s="108"/>
      <c r="GH39" s="108"/>
      <c r="GI39" s="108"/>
      <c r="GJ39" s="108"/>
      <c r="GK39" s="108"/>
      <c r="GL39" s="108"/>
      <c r="GM39" s="108"/>
      <c r="GN39" s="108"/>
      <c r="GO39" s="108"/>
      <c r="GP39" s="108"/>
      <c r="GQ39" s="108"/>
      <c r="GR39" s="108"/>
      <c r="GS39" s="108"/>
      <c r="GT39" s="108"/>
      <c r="GU39" s="108"/>
      <c r="GV39" s="108"/>
      <c r="GW39" s="108"/>
      <c r="GX39" s="108"/>
      <c r="GY39" s="108"/>
      <c r="GZ39" s="108"/>
      <c r="HA39" s="108"/>
      <c r="HB39" s="108"/>
      <c r="HC39" s="108"/>
      <c r="HD39" s="108"/>
      <c r="HE39" s="108"/>
      <c r="HF39" s="108"/>
      <c r="HG39" s="108"/>
      <c r="HH39" s="108"/>
      <c r="HI39" s="108"/>
      <c r="HJ39" s="108"/>
      <c r="HK39" s="108"/>
      <c r="HL39" s="108"/>
      <c r="HM39" s="108"/>
      <c r="HN39" s="108"/>
      <c r="HO39" s="108"/>
      <c r="HP39" s="108"/>
      <c r="HQ39" s="108"/>
      <c r="HR39" s="108"/>
      <c r="HS39" s="108"/>
      <c r="HT39" s="108"/>
      <c r="HU39" s="108"/>
      <c r="HV39" s="108"/>
      <c r="HW39" s="108"/>
      <c r="HX39" s="108"/>
      <c r="HY39" s="108"/>
      <c r="HZ39" s="108"/>
      <c r="IA39" s="108"/>
      <c r="IB39" s="108"/>
      <c r="IC39" s="108"/>
      <c r="ID39" s="108"/>
      <c r="IE39" s="108"/>
      <c r="IF39" s="108"/>
      <c r="IG39" s="108"/>
      <c r="IH39" s="108"/>
      <c r="II39" s="108"/>
      <c r="IJ39" s="108"/>
      <c r="IK39" s="108"/>
      <c r="IL39" s="108"/>
      <c r="IM39" s="108"/>
      <c r="IN39" s="108"/>
      <c r="IO39" s="108"/>
      <c r="IP39" s="108"/>
      <c r="IQ39" s="108"/>
      <c r="IR39" s="108"/>
      <c r="IS39" s="108"/>
      <c r="IT39" s="108"/>
      <c r="IU39" s="108"/>
      <c r="IV39" s="108"/>
    </row>
    <row r="40" spans="1:256" ht="8.1" customHeight="1" x14ac:dyDescent="0.35">
      <c r="A40" s="108"/>
      <c r="B40" s="107"/>
      <c r="C40" s="132"/>
      <c r="D40" s="509"/>
      <c r="E40" s="402"/>
      <c r="F40" s="593"/>
      <c r="G40" s="402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8"/>
      <c r="AA40" s="108"/>
      <c r="AB40" s="108"/>
      <c r="AC40" s="108"/>
      <c r="AD40" s="108"/>
      <c r="AE40" s="108"/>
      <c r="AF40" s="108"/>
      <c r="AG40" s="108"/>
      <c r="AH40" s="108"/>
      <c r="AI40" s="108"/>
      <c r="AJ40" s="108"/>
      <c r="AK40" s="108"/>
      <c r="AL40" s="108"/>
      <c r="AM40" s="108"/>
      <c r="AN40" s="108"/>
      <c r="AO40" s="108"/>
      <c r="AP40" s="108"/>
      <c r="AQ40" s="108"/>
      <c r="AR40" s="108"/>
      <c r="AS40" s="108"/>
      <c r="AT40" s="108"/>
      <c r="AU40" s="108"/>
      <c r="AV40" s="108"/>
      <c r="AW40" s="108"/>
      <c r="AX40" s="108"/>
      <c r="AY40" s="108"/>
      <c r="AZ40" s="108"/>
      <c r="BA40" s="108"/>
      <c r="BB40" s="108"/>
      <c r="BC40" s="108"/>
      <c r="BD40" s="108"/>
      <c r="BE40" s="108"/>
      <c r="BF40" s="108"/>
      <c r="BG40" s="108"/>
      <c r="BH40" s="108"/>
      <c r="BI40" s="108"/>
      <c r="BJ40" s="108"/>
      <c r="BK40" s="108"/>
      <c r="BL40" s="108"/>
      <c r="BM40" s="108"/>
      <c r="BN40" s="108"/>
      <c r="BO40" s="108"/>
      <c r="BP40" s="108"/>
      <c r="BQ40" s="108"/>
      <c r="BR40" s="108"/>
      <c r="BS40" s="108"/>
      <c r="BT40" s="108"/>
      <c r="BU40" s="108"/>
      <c r="BV40" s="108"/>
      <c r="BW40" s="108"/>
      <c r="BX40" s="108"/>
      <c r="BY40" s="108"/>
      <c r="BZ40" s="108"/>
      <c r="CA40" s="108"/>
      <c r="CB40" s="108"/>
      <c r="CC40" s="108"/>
      <c r="CD40" s="108"/>
      <c r="CE40" s="108"/>
      <c r="CF40" s="108"/>
      <c r="CG40" s="108"/>
      <c r="CH40" s="108"/>
      <c r="CI40" s="108"/>
      <c r="CJ40" s="108"/>
      <c r="CK40" s="108"/>
      <c r="CL40" s="108"/>
      <c r="CM40" s="108"/>
      <c r="CN40" s="108"/>
      <c r="CO40" s="108"/>
      <c r="CP40" s="108"/>
      <c r="CQ40" s="108"/>
      <c r="CR40" s="108"/>
      <c r="CS40" s="108"/>
      <c r="CT40" s="108"/>
      <c r="CU40" s="108"/>
      <c r="CV40" s="108"/>
      <c r="CW40" s="108"/>
      <c r="CX40" s="108"/>
      <c r="CY40" s="108"/>
      <c r="CZ40" s="108"/>
      <c r="DA40" s="108"/>
      <c r="DB40" s="108"/>
      <c r="DC40" s="108"/>
      <c r="DD40" s="108"/>
      <c r="DE40" s="108"/>
      <c r="DF40" s="108"/>
      <c r="DG40" s="108"/>
      <c r="DH40" s="108"/>
      <c r="DI40" s="108"/>
      <c r="DJ40" s="108"/>
      <c r="DK40" s="108"/>
      <c r="DL40" s="108"/>
      <c r="DM40" s="108"/>
      <c r="DN40" s="108"/>
      <c r="DO40" s="108"/>
      <c r="DP40" s="108"/>
      <c r="DQ40" s="108"/>
      <c r="DR40" s="108"/>
      <c r="DS40" s="108"/>
      <c r="DT40" s="108"/>
      <c r="DU40" s="108"/>
      <c r="DV40" s="108"/>
      <c r="DW40" s="108"/>
      <c r="DX40" s="108"/>
      <c r="DY40" s="108"/>
      <c r="DZ40" s="108"/>
      <c r="EA40" s="108"/>
      <c r="EB40" s="108"/>
      <c r="EC40" s="108"/>
      <c r="ED40" s="108"/>
      <c r="EE40" s="108"/>
      <c r="EF40" s="108"/>
      <c r="EG40" s="108"/>
      <c r="EH40" s="108"/>
      <c r="EI40" s="108"/>
      <c r="EJ40" s="108"/>
      <c r="EK40" s="108"/>
      <c r="EL40" s="108"/>
      <c r="EM40" s="108"/>
      <c r="EN40" s="108"/>
      <c r="EO40" s="108"/>
      <c r="EP40" s="108"/>
      <c r="EQ40" s="108"/>
      <c r="ER40" s="108"/>
      <c r="ES40" s="108"/>
      <c r="ET40" s="108"/>
      <c r="EU40" s="108"/>
      <c r="EV40" s="108"/>
      <c r="EW40" s="108"/>
      <c r="EX40" s="108"/>
      <c r="EY40" s="108"/>
      <c r="EZ40" s="108"/>
      <c r="FA40" s="108"/>
      <c r="FB40" s="108"/>
      <c r="FC40" s="108"/>
      <c r="FD40" s="108"/>
      <c r="FE40" s="108"/>
      <c r="FF40" s="108"/>
      <c r="FG40" s="108"/>
      <c r="FH40" s="108"/>
      <c r="FI40" s="108"/>
      <c r="FJ40" s="108"/>
      <c r="FK40" s="108"/>
      <c r="FL40" s="108"/>
      <c r="FM40" s="108"/>
      <c r="FN40" s="108"/>
      <c r="FO40" s="108"/>
      <c r="FP40" s="108"/>
      <c r="FQ40" s="108"/>
      <c r="FR40" s="108"/>
      <c r="FS40" s="108"/>
      <c r="FT40" s="108"/>
      <c r="FU40" s="108"/>
      <c r="FV40" s="108"/>
      <c r="FW40" s="108"/>
      <c r="FX40" s="108"/>
      <c r="FY40" s="108"/>
      <c r="FZ40" s="108"/>
      <c r="GA40" s="108"/>
      <c r="GB40" s="108"/>
      <c r="GC40" s="108"/>
      <c r="GD40" s="108"/>
      <c r="GE40" s="108"/>
      <c r="GF40" s="108"/>
      <c r="GG40" s="108"/>
      <c r="GH40" s="108"/>
      <c r="GI40" s="108"/>
      <c r="GJ40" s="108"/>
      <c r="GK40" s="108"/>
      <c r="GL40" s="108"/>
      <c r="GM40" s="108"/>
      <c r="GN40" s="108"/>
      <c r="GO40" s="108"/>
      <c r="GP40" s="108"/>
      <c r="GQ40" s="108"/>
      <c r="GR40" s="108"/>
      <c r="GS40" s="108"/>
      <c r="GT40" s="108"/>
      <c r="GU40" s="108"/>
      <c r="GV40" s="108"/>
      <c r="GW40" s="108"/>
      <c r="GX40" s="108"/>
      <c r="GY40" s="108"/>
      <c r="GZ40" s="108"/>
      <c r="HA40" s="108"/>
      <c r="HB40" s="108"/>
      <c r="HC40" s="108"/>
      <c r="HD40" s="108"/>
      <c r="HE40" s="108"/>
      <c r="HF40" s="108"/>
      <c r="HG40" s="108"/>
      <c r="HH40" s="108"/>
      <c r="HI40" s="108"/>
      <c r="HJ40" s="108"/>
      <c r="HK40" s="108"/>
      <c r="HL40" s="108"/>
      <c r="HM40" s="108"/>
      <c r="HN40" s="108"/>
      <c r="HO40" s="108"/>
      <c r="HP40" s="108"/>
      <c r="HQ40" s="108"/>
      <c r="HR40" s="108"/>
      <c r="HS40" s="108"/>
      <c r="HT40" s="108"/>
      <c r="HU40" s="108"/>
      <c r="HV40" s="108"/>
      <c r="HW40" s="108"/>
      <c r="HX40" s="108"/>
      <c r="HY40" s="108"/>
      <c r="HZ40" s="108"/>
      <c r="IA40" s="108"/>
      <c r="IB40" s="108"/>
      <c r="IC40" s="108"/>
      <c r="ID40" s="108"/>
      <c r="IE40" s="108"/>
      <c r="IF40" s="108"/>
      <c r="IG40" s="108"/>
      <c r="IH40" s="108"/>
      <c r="II40" s="108"/>
      <c r="IJ40" s="108"/>
      <c r="IK40" s="108"/>
      <c r="IL40" s="108"/>
      <c r="IM40" s="108"/>
      <c r="IN40" s="108"/>
      <c r="IO40" s="108"/>
      <c r="IP40" s="108"/>
      <c r="IQ40" s="108"/>
      <c r="IR40" s="108"/>
      <c r="IS40" s="108"/>
      <c r="IT40" s="108"/>
      <c r="IU40" s="108"/>
      <c r="IV40" s="108"/>
    </row>
    <row r="41" spans="1:256" ht="15" customHeight="1" x14ac:dyDescent="0.2">
      <c r="A41" s="105"/>
      <c r="B41" s="105"/>
      <c r="C41" s="111"/>
      <c r="D41" s="509">
        <v>17</v>
      </c>
      <c r="E41" s="402" t="s">
        <v>184</v>
      </c>
      <c r="F41" s="509">
        <v>36</v>
      </c>
      <c r="G41" s="402" t="s">
        <v>643</v>
      </c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5"/>
      <c r="AE41" s="105"/>
      <c r="AF41" s="105"/>
      <c r="AG41" s="105"/>
      <c r="AH41" s="105"/>
      <c r="AI41" s="105"/>
      <c r="AJ41" s="105"/>
      <c r="AK41" s="105"/>
      <c r="AL41" s="105"/>
      <c r="AM41" s="105"/>
      <c r="AN41" s="105"/>
      <c r="AO41" s="105"/>
      <c r="AP41" s="105"/>
      <c r="AQ41" s="105"/>
      <c r="AR41" s="105"/>
      <c r="AS41" s="105"/>
      <c r="AT41" s="105"/>
      <c r="AU41" s="105"/>
      <c r="AV41" s="105"/>
      <c r="AW41" s="105"/>
      <c r="AX41" s="105"/>
      <c r="AY41" s="105"/>
      <c r="AZ41" s="105"/>
      <c r="BA41" s="105"/>
      <c r="BB41" s="105"/>
      <c r="BC41" s="105"/>
      <c r="BD41" s="105"/>
      <c r="BE41" s="105"/>
      <c r="BF41" s="105"/>
      <c r="BG41" s="105"/>
      <c r="BH41" s="105"/>
      <c r="BI41" s="105"/>
      <c r="BJ41" s="105"/>
      <c r="BK41" s="105"/>
      <c r="BL41" s="105"/>
      <c r="BM41" s="105"/>
      <c r="BN41" s="105"/>
      <c r="BO41" s="105"/>
      <c r="BP41" s="105"/>
      <c r="BQ41" s="105"/>
      <c r="BR41" s="105"/>
      <c r="BS41" s="105"/>
      <c r="BT41" s="105"/>
      <c r="BU41" s="105"/>
      <c r="BV41" s="105"/>
      <c r="BW41" s="105"/>
      <c r="BX41" s="105"/>
      <c r="BY41" s="105"/>
      <c r="BZ41" s="105"/>
      <c r="CA41" s="105"/>
      <c r="CB41" s="105"/>
      <c r="CC41" s="105"/>
      <c r="CD41" s="105"/>
      <c r="CE41" s="105"/>
      <c r="CF41" s="105"/>
      <c r="CG41" s="105"/>
      <c r="CH41" s="105"/>
      <c r="CI41" s="105"/>
      <c r="CJ41" s="105"/>
      <c r="CK41" s="105"/>
      <c r="CL41" s="105"/>
      <c r="CM41" s="105"/>
      <c r="CN41" s="105"/>
      <c r="CO41" s="105"/>
      <c r="CP41" s="105"/>
      <c r="CQ41" s="105"/>
      <c r="CR41" s="105"/>
      <c r="CS41" s="105"/>
      <c r="CT41" s="105"/>
      <c r="CU41" s="105"/>
      <c r="CV41" s="105"/>
      <c r="CW41" s="105"/>
      <c r="CX41" s="105"/>
      <c r="CY41" s="105"/>
      <c r="CZ41" s="105"/>
      <c r="DA41" s="105"/>
      <c r="DB41" s="105"/>
      <c r="DC41" s="105"/>
      <c r="DD41" s="105"/>
      <c r="DE41" s="105"/>
      <c r="DF41" s="105"/>
      <c r="DG41" s="105"/>
      <c r="DH41" s="105"/>
      <c r="DI41" s="105"/>
      <c r="DJ41" s="105"/>
      <c r="DK41" s="105"/>
      <c r="DL41" s="105"/>
      <c r="DM41" s="105"/>
      <c r="DN41" s="105"/>
      <c r="DO41" s="105"/>
      <c r="DP41" s="105"/>
      <c r="DQ41" s="105"/>
      <c r="DR41" s="105"/>
      <c r="DS41" s="105"/>
      <c r="DT41" s="105"/>
      <c r="DU41" s="105"/>
      <c r="DV41" s="105"/>
      <c r="DW41" s="105"/>
      <c r="DX41" s="105"/>
      <c r="DY41" s="105"/>
      <c r="DZ41" s="105"/>
      <c r="EA41" s="105"/>
      <c r="EB41" s="105"/>
      <c r="EC41" s="105"/>
      <c r="ED41" s="105"/>
      <c r="EE41" s="105"/>
      <c r="EF41" s="105"/>
      <c r="EG41" s="105"/>
      <c r="EH41" s="105"/>
      <c r="EI41" s="105"/>
      <c r="EJ41" s="105"/>
      <c r="EK41" s="105"/>
      <c r="EL41" s="105"/>
      <c r="EM41" s="105"/>
      <c r="EN41" s="105"/>
      <c r="EO41" s="105"/>
      <c r="EP41" s="105"/>
      <c r="EQ41" s="105"/>
      <c r="ER41" s="105"/>
      <c r="ES41" s="105"/>
      <c r="ET41" s="105"/>
      <c r="EU41" s="105"/>
      <c r="EV41" s="105"/>
      <c r="EW41" s="105"/>
      <c r="EX41" s="105"/>
      <c r="EY41" s="105"/>
      <c r="EZ41" s="105"/>
      <c r="FA41" s="105"/>
      <c r="FB41" s="105"/>
      <c r="FC41" s="105"/>
      <c r="FD41" s="105"/>
      <c r="FE41" s="105"/>
      <c r="FF41" s="105"/>
      <c r="FG41" s="105"/>
      <c r="FH41" s="105"/>
      <c r="FI41" s="105"/>
      <c r="FJ41" s="105"/>
      <c r="FK41" s="105"/>
      <c r="FL41" s="105"/>
      <c r="FM41" s="105"/>
      <c r="FN41" s="105"/>
      <c r="FO41" s="105"/>
      <c r="FP41" s="105"/>
      <c r="FQ41" s="105"/>
      <c r="FR41" s="105"/>
      <c r="FS41" s="105"/>
      <c r="FT41" s="105"/>
      <c r="FU41" s="105"/>
      <c r="FV41" s="105"/>
      <c r="FW41" s="105"/>
      <c r="FX41" s="105"/>
      <c r="FY41" s="105"/>
      <c r="FZ41" s="105"/>
      <c r="GA41" s="105"/>
      <c r="GB41" s="105"/>
      <c r="GC41" s="105"/>
      <c r="GD41" s="105"/>
      <c r="GE41" s="105"/>
      <c r="GF41" s="105"/>
      <c r="GG41" s="105"/>
      <c r="GH41" s="105"/>
      <c r="GI41" s="105"/>
      <c r="GJ41" s="105"/>
      <c r="GK41" s="105"/>
      <c r="GL41" s="105"/>
      <c r="GM41" s="105"/>
      <c r="GN41" s="105"/>
      <c r="GO41" s="105"/>
      <c r="GP41" s="105"/>
      <c r="GQ41" s="105"/>
      <c r="GR41" s="105"/>
      <c r="GS41" s="105"/>
      <c r="GT41" s="105"/>
      <c r="GU41" s="105"/>
      <c r="GV41" s="105"/>
      <c r="GW41" s="105"/>
      <c r="GX41" s="105"/>
      <c r="GY41" s="105"/>
      <c r="GZ41" s="105"/>
      <c r="HA41" s="105"/>
      <c r="HB41" s="105"/>
      <c r="HC41" s="105"/>
      <c r="HD41" s="105"/>
      <c r="HE41" s="105"/>
      <c r="HF41" s="105"/>
      <c r="HG41" s="105"/>
      <c r="HH41" s="105"/>
      <c r="HI41" s="105"/>
      <c r="HJ41" s="105"/>
      <c r="HK41" s="105"/>
      <c r="HL41" s="105"/>
      <c r="HM41" s="105"/>
      <c r="HN41" s="105"/>
      <c r="HO41" s="105"/>
      <c r="HP41" s="105"/>
      <c r="HQ41" s="105"/>
      <c r="HR41" s="105"/>
      <c r="HS41" s="105"/>
      <c r="HT41" s="105"/>
      <c r="HU41" s="105"/>
      <c r="HV41" s="105"/>
      <c r="HW41" s="105"/>
      <c r="HX41" s="105"/>
      <c r="HY41" s="105"/>
      <c r="HZ41" s="105"/>
      <c r="IA41" s="105"/>
      <c r="IB41" s="105"/>
      <c r="IC41" s="105"/>
      <c r="ID41" s="105"/>
      <c r="IE41" s="105"/>
      <c r="IF41" s="105"/>
      <c r="IG41" s="105"/>
      <c r="IH41" s="105"/>
      <c r="II41" s="105"/>
      <c r="IJ41" s="105"/>
      <c r="IK41" s="105"/>
      <c r="IL41" s="105"/>
      <c r="IM41" s="105"/>
      <c r="IN41" s="105"/>
      <c r="IO41" s="105"/>
      <c r="IP41" s="105"/>
      <c r="IQ41" s="105"/>
      <c r="IR41" s="105"/>
      <c r="IS41" s="105"/>
      <c r="IT41" s="105"/>
      <c r="IU41" s="105"/>
      <c r="IV41" s="105"/>
    </row>
    <row r="42" spans="1:256" ht="6.95" customHeight="1" x14ac:dyDescent="0.25">
      <c r="A42" s="105"/>
      <c r="B42" s="109"/>
      <c r="C42" s="105"/>
      <c r="D42" s="509"/>
      <c r="E42" s="402"/>
      <c r="F42" s="593"/>
      <c r="G42" s="402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05"/>
      <c r="AF42" s="105"/>
      <c r="AG42" s="105"/>
      <c r="AH42" s="105"/>
      <c r="AI42" s="105"/>
      <c r="AJ42" s="105"/>
      <c r="AK42" s="105"/>
      <c r="AL42" s="105"/>
      <c r="AM42" s="105"/>
      <c r="AN42" s="105"/>
      <c r="AO42" s="105"/>
      <c r="AP42" s="105"/>
      <c r="AQ42" s="105"/>
      <c r="AR42" s="105"/>
      <c r="AS42" s="105"/>
      <c r="AT42" s="105"/>
      <c r="AU42" s="105"/>
      <c r="AV42" s="105"/>
      <c r="AW42" s="105"/>
      <c r="AX42" s="105"/>
      <c r="AY42" s="105"/>
      <c r="AZ42" s="105"/>
      <c r="BA42" s="105"/>
      <c r="BB42" s="105"/>
      <c r="BC42" s="105"/>
      <c r="BD42" s="105"/>
      <c r="BE42" s="105"/>
      <c r="BF42" s="105"/>
      <c r="BG42" s="105"/>
      <c r="BH42" s="105"/>
      <c r="BI42" s="105"/>
      <c r="BJ42" s="105"/>
      <c r="BK42" s="105"/>
      <c r="BL42" s="105"/>
      <c r="BM42" s="105"/>
      <c r="BN42" s="105"/>
      <c r="BO42" s="105"/>
      <c r="BP42" s="105"/>
      <c r="BQ42" s="105"/>
      <c r="BR42" s="105"/>
      <c r="BS42" s="105"/>
      <c r="BT42" s="105"/>
      <c r="BU42" s="105"/>
      <c r="BV42" s="105"/>
      <c r="BW42" s="105"/>
      <c r="BX42" s="105"/>
      <c r="BY42" s="105"/>
      <c r="BZ42" s="105"/>
      <c r="CA42" s="105"/>
      <c r="CB42" s="105"/>
      <c r="CC42" s="105"/>
      <c r="CD42" s="105"/>
      <c r="CE42" s="105"/>
      <c r="CF42" s="105"/>
      <c r="CG42" s="105"/>
      <c r="CH42" s="105"/>
      <c r="CI42" s="105"/>
      <c r="CJ42" s="105"/>
      <c r="CK42" s="105"/>
      <c r="CL42" s="105"/>
      <c r="CM42" s="105"/>
      <c r="CN42" s="105"/>
      <c r="CO42" s="105"/>
      <c r="CP42" s="105"/>
      <c r="CQ42" s="105"/>
      <c r="CR42" s="105"/>
      <c r="CS42" s="105"/>
      <c r="CT42" s="105"/>
      <c r="CU42" s="105"/>
      <c r="CV42" s="105"/>
      <c r="CW42" s="105"/>
      <c r="CX42" s="105"/>
      <c r="CY42" s="105"/>
      <c r="CZ42" s="105"/>
      <c r="DA42" s="105"/>
      <c r="DB42" s="105"/>
      <c r="DC42" s="105"/>
      <c r="DD42" s="105"/>
      <c r="DE42" s="105"/>
      <c r="DF42" s="105"/>
      <c r="DG42" s="105"/>
      <c r="DH42" s="105"/>
      <c r="DI42" s="105"/>
      <c r="DJ42" s="105"/>
      <c r="DK42" s="105"/>
      <c r="DL42" s="105"/>
      <c r="DM42" s="105"/>
      <c r="DN42" s="105"/>
      <c r="DO42" s="105"/>
      <c r="DP42" s="105"/>
      <c r="DQ42" s="105"/>
      <c r="DR42" s="105"/>
      <c r="DS42" s="105"/>
      <c r="DT42" s="105"/>
      <c r="DU42" s="105"/>
      <c r="DV42" s="105"/>
      <c r="DW42" s="105"/>
      <c r="DX42" s="105"/>
      <c r="DY42" s="105"/>
      <c r="DZ42" s="105"/>
      <c r="EA42" s="105"/>
      <c r="EB42" s="105"/>
      <c r="EC42" s="105"/>
      <c r="ED42" s="105"/>
      <c r="EE42" s="105"/>
      <c r="EF42" s="105"/>
      <c r="EG42" s="105"/>
      <c r="EH42" s="105"/>
      <c r="EI42" s="105"/>
      <c r="EJ42" s="105"/>
      <c r="EK42" s="105"/>
      <c r="EL42" s="105"/>
      <c r="EM42" s="105"/>
      <c r="EN42" s="105"/>
      <c r="EO42" s="105"/>
      <c r="EP42" s="105"/>
      <c r="EQ42" s="105"/>
      <c r="ER42" s="105"/>
      <c r="ES42" s="105"/>
      <c r="ET42" s="105"/>
      <c r="EU42" s="105"/>
      <c r="EV42" s="105"/>
      <c r="EW42" s="105"/>
      <c r="EX42" s="105"/>
      <c r="EY42" s="105"/>
      <c r="EZ42" s="105"/>
      <c r="FA42" s="105"/>
      <c r="FB42" s="105"/>
      <c r="FC42" s="105"/>
      <c r="FD42" s="105"/>
      <c r="FE42" s="105"/>
      <c r="FF42" s="105"/>
      <c r="FG42" s="105"/>
      <c r="FH42" s="105"/>
      <c r="FI42" s="105"/>
      <c r="FJ42" s="105"/>
      <c r="FK42" s="105"/>
      <c r="FL42" s="105"/>
      <c r="FM42" s="105"/>
      <c r="FN42" s="105"/>
      <c r="FO42" s="105"/>
      <c r="FP42" s="105"/>
      <c r="FQ42" s="105"/>
      <c r="FR42" s="105"/>
      <c r="FS42" s="105"/>
      <c r="FT42" s="105"/>
      <c r="FU42" s="105"/>
      <c r="FV42" s="105"/>
      <c r="FW42" s="105"/>
      <c r="FX42" s="105"/>
      <c r="FY42" s="105"/>
      <c r="FZ42" s="105"/>
      <c r="GA42" s="105"/>
      <c r="GB42" s="105"/>
      <c r="GC42" s="105"/>
      <c r="GD42" s="105"/>
      <c r="GE42" s="105"/>
      <c r="GF42" s="105"/>
      <c r="GG42" s="105"/>
      <c r="GH42" s="105"/>
      <c r="GI42" s="105"/>
      <c r="GJ42" s="105"/>
      <c r="GK42" s="105"/>
      <c r="GL42" s="105"/>
      <c r="GM42" s="105"/>
      <c r="GN42" s="105"/>
      <c r="GO42" s="105"/>
      <c r="GP42" s="105"/>
      <c r="GQ42" s="105"/>
      <c r="GR42" s="105"/>
      <c r="GS42" s="105"/>
      <c r="GT42" s="105"/>
      <c r="GU42" s="105"/>
      <c r="GV42" s="105"/>
      <c r="GW42" s="105"/>
      <c r="GX42" s="105"/>
      <c r="GY42" s="105"/>
      <c r="GZ42" s="105"/>
      <c r="HA42" s="105"/>
      <c r="HB42" s="105"/>
      <c r="HC42" s="105"/>
      <c r="HD42" s="105"/>
      <c r="HE42" s="105"/>
      <c r="HF42" s="105"/>
      <c r="HG42" s="105"/>
      <c r="HH42" s="105"/>
      <c r="HI42" s="105"/>
      <c r="HJ42" s="105"/>
      <c r="HK42" s="105"/>
      <c r="HL42" s="105"/>
      <c r="HM42" s="105"/>
      <c r="HN42" s="105"/>
      <c r="HO42" s="105"/>
      <c r="HP42" s="105"/>
      <c r="HQ42" s="105"/>
      <c r="HR42" s="105"/>
      <c r="HS42" s="105"/>
      <c r="HT42" s="105"/>
      <c r="HU42" s="105"/>
      <c r="HV42" s="105"/>
      <c r="HW42" s="105"/>
      <c r="HX42" s="105"/>
      <c r="HY42" s="105"/>
      <c r="HZ42" s="105"/>
      <c r="IA42" s="105"/>
      <c r="IB42" s="105"/>
      <c r="IC42" s="105"/>
      <c r="ID42" s="105"/>
      <c r="IE42" s="105"/>
      <c r="IF42" s="105"/>
      <c r="IG42" s="105"/>
      <c r="IH42" s="105"/>
      <c r="II42" s="105"/>
      <c r="IJ42" s="105"/>
      <c r="IK42" s="105"/>
      <c r="IL42" s="105"/>
      <c r="IM42" s="105"/>
      <c r="IN42" s="105"/>
      <c r="IO42" s="105"/>
      <c r="IP42" s="105"/>
      <c r="IQ42" s="105"/>
      <c r="IR42" s="105"/>
      <c r="IS42" s="105"/>
      <c r="IT42" s="105"/>
      <c r="IU42" s="105"/>
      <c r="IV42" s="105"/>
    </row>
    <row r="43" spans="1:256" ht="15.75" customHeight="1" x14ac:dyDescent="0.2">
      <c r="A43" s="105"/>
      <c r="B43" s="109"/>
      <c r="C43" s="105"/>
      <c r="D43" s="509">
        <v>18</v>
      </c>
      <c r="E43" s="402" t="s">
        <v>185</v>
      </c>
      <c r="F43" s="509">
        <v>37</v>
      </c>
      <c r="G43" s="402" t="s">
        <v>195</v>
      </c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05"/>
      <c r="AF43" s="105"/>
      <c r="AG43" s="105"/>
      <c r="AH43" s="105"/>
      <c r="AI43" s="105"/>
      <c r="AJ43" s="105"/>
      <c r="AK43" s="105"/>
      <c r="AL43" s="105"/>
      <c r="AM43" s="105"/>
      <c r="AN43" s="105"/>
      <c r="AO43" s="105"/>
      <c r="AP43" s="105"/>
      <c r="AQ43" s="105"/>
      <c r="AR43" s="105"/>
      <c r="AS43" s="105"/>
      <c r="AT43" s="105"/>
      <c r="AU43" s="105"/>
      <c r="AV43" s="105"/>
      <c r="AW43" s="105"/>
      <c r="AX43" s="105"/>
      <c r="AY43" s="105"/>
      <c r="AZ43" s="105"/>
      <c r="BA43" s="105"/>
      <c r="BB43" s="105"/>
      <c r="BC43" s="105"/>
      <c r="BD43" s="105"/>
      <c r="BE43" s="105"/>
      <c r="BF43" s="105"/>
      <c r="BG43" s="105"/>
      <c r="BH43" s="105"/>
      <c r="BI43" s="105"/>
      <c r="BJ43" s="105"/>
      <c r="BK43" s="105"/>
      <c r="BL43" s="105"/>
      <c r="BM43" s="105"/>
      <c r="BN43" s="105"/>
      <c r="BO43" s="105"/>
      <c r="BP43" s="105"/>
      <c r="BQ43" s="105"/>
      <c r="BR43" s="105"/>
      <c r="BS43" s="105"/>
      <c r="BT43" s="105"/>
      <c r="BU43" s="105"/>
      <c r="BV43" s="105"/>
      <c r="BW43" s="105"/>
      <c r="BX43" s="105"/>
      <c r="BY43" s="105"/>
      <c r="BZ43" s="105"/>
      <c r="CA43" s="105"/>
      <c r="CB43" s="105"/>
      <c r="CC43" s="105"/>
      <c r="CD43" s="105"/>
      <c r="CE43" s="105"/>
      <c r="CF43" s="105"/>
      <c r="CG43" s="105"/>
      <c r="CH43" s="105"/>
      <c r="CI43" s="105"/>
      <c r="CJ43" s="105"/>
      <c r="CK43" s="105"/>
      <c r="CL43" s="105"/>
      <c r="CM43" s="105"/>
      <c r="CN43" s="105"/>
      <c r="CO43" s="105"/>
      <c r="CP43" s="105"/>
      <c r="CQ43" s="105"/>
      <c r="CR43" s="105"/>
      <c r="CS43" s="105"/>
      <c r="CT43" s="105"/>
      <c r="CU43" s="105"/>
      <c r="CV43" s="105"/>
      <c r="CW43" s="105"/>
      <c r="CX43" s="105"/>
      <c r="CY43" s="105"/>
      <c r="CZ43" s="105"/>
      <c r="DA43" s="105"/>
      <c r="DB43" s="105"/>
      <c r="DC43" s="105"/>
      <c r="DD43" s="105"/>
      <c r="DE43" s="105"/>
      <c r="DF43" s="105"/>
      <c r="DG43" s="105"/>
      <c r="DH43" s="105"/>
      <c r="DI43" s="105"/>
      <c r="DJ43" s="105"/>
      <c r="DK43" s="105"/>
      <c r="DL43" s="105"/>
      <c r="DM43" s="105"/>
      <c r="DN43" s="105"/>
      <c r="DO43" s="105"/>
      <c r="DP43" s="105"/>
      <c r="DQ43" s="105"/>
      <c r="DR43" s="105"/>
      <c r="DS43" s="105"/>
      <c r="DT43" s="105"/>
      <c r="DU43" s="105"/>
      <c r="DV43" s="105"/>
      <c r="DW43" s="105"/>
      <c r="DX43" s="105"/>
      <c r="DY43" s="105"/>
      <c r="DZ43" s="105"/>
      <c r="EA43" s="105"/>
      <c r="EB43" s="105"/>
      <c r="EC43" s="105"/>
      <c r="ED43" s="105"/>
      <c r="EE43" s="105"/>
      <c r="EF43" s="105"/>
      <c r="EG43" s="105"/>
      <c r="EH43" s="105"/>
      <c r="EI43" s="105"/>
      <c r="EJ43" s="105"/>
      <c r="EK43" s="105"/>
      <c r="EL43" s="105"/>
      <c r="EM43" s="105"/>
      <c r="EN43" s="105"/>
      <c r="EO43" s="105"/>
      <c r="EP43" s="105"/>
      <c r="EQ43" s="105"/>
      <c r="ER43" s="105"/>
      <c r="ES43" s="105"/>
      <c r="ET43" s="105"/>
      <c r="EU43" s="105"/>
      <c r="EV43" s="105"/>
      <c r="EW43" s="105"/>
      <c r="EX43" s="105"/>
      <c r="EY43" s="105"/>
      <c r="EZ43" s="105"/>
      <c r="FA43" s="105"/>
      <c r="FB43" s="105"/>
      <c r="FC43" s="105"/>
      <c r="FD43" s="105"/>
      <c r="FE43" s="105"/>
      <c r="FF43" s="105"/>
      <c r="FG43" s="105"/>
      <c r="FH43" s="105"/>
      <c r="FI43" s="105"/>
      <c r="FJ43" s="105"/>
      <c r="FK43" s="105"/>
      <c r="FL43" s="105"/>
      <c r="FM43" s="105"/>
      <c r="FN43" s="105"/>
      <c r="FO43" s="105"/>
      <c r="FP43" s="105"/>
      <c r="FQ43" s="105"/>
      <c r="FR43" s="105"/>
      <c r="FS43" s="105"/>
      <c r="FT43" s="105"/>
      <c r="FU43" s="105"/>
      <c r="FV43" s="105"/>
      <c r="FW43" s="105"/>
      <c r="FX43" s="105"/>
      <c r="FY43" s="105"/>
      <c r="FZ43" s="105"/>
      <c r="GA43" s="105"/>
      <c r="GB43" s="105"/>
      <c r="GC43" s="105"/>
      <c r="GD43" s="105"/>
      <c r="GE43" s="105"/>
      <c r="GF43" s="105"/>
      <c r="GG43" s="105"/>
      <c r="GH43" s="105"/>
      <c r="GI43" s="105"/>
      <c r="GJ43" s="105"/>
      <c r="GK43" s="105"/>
      <c r="GL43" s="105"/>
      <c r="GM43" s="105"/>
      <c r="GN43" s="105"/>
      <c r="GO43" s="105"/>
      <c r="GP43" s="105"/>
      <c r="GQ43" s="105"/>
      <c r="GR43" s="105"/>
      <c r="GS43" s="105"/>
      <c r="GT43" s="105"/>
      <c r="GU43" s="105"/>
      <c r="GV43" s="105"/>
      <c r="GW43" s="105"/>
      <c r="GX43" s="105"/>
      <c r="GY43" s="105"/>
      <c r="GZ43" s="105"/>
      <c r="HA43" s="105"/>
      <c r="HB43" s="105"/>
      <c r="HC43" s="105"/>
      <c r="HD43" s="105"/>
      <c r="HE43" s="105"/>
      <c r="HF43" s="105"/>
      <c r="HG43" s="105"/>
      <c r="HH43" s="105"/>
      <c r="HI43" s="105"/>
      <c r="HJ43" s="105"/>
      <c r="HK43" s="105"/>
      <c r="HL43" s="105"/>
      <c r="HM43" s="105"/>
      <c r="HN43" s="105"/>
      <c r="HO43" s="105"/>
      <c r="HP43" s="105"/>
      <c r="HQ43" s="105"/>
      <c r="HR43" s="105"/>
      <c r="HS43" s="105"/>
      <c r="HT43" s="105"/>
      <c r="HU43" s="105"/>
      <c r="HV43" s="105"/>
      <c r="HW43" s="105"/>
      <c r="HX43" s="105"/>
      <c r="HY43" s="105"/>
      <c r="HZ43" s="105"/>
      <c r="IA43" s="105"/>
      <c r="IB43" s="105"/>
      <c r="IC43" s="105"/>
      <c r="ID43" s="105"/>
      <c r="IE43" s="105"/>
      <c r="IF43" s="105"/>
      <c r="IG43" s="105"/>
      <c r="IH43" s="105"/>
      <c r="II43" s="105"/>
      <c r="IJ43" s="105"/>
      <c r="IK43" s="105"/>
      <c r="IL43" s="105"/>
      <c r="IM43" s="105"/>
      <c r="IN43" s="105"/>
      <c r="IO43" s="105"/>
      <c r="IP43" s="105"/>
      <c r="IQ43" s="105"/>
      <c r="IR43" s="105"/>
      <c r="IS43" s="105"/>
      <c r="IT43" s="105"/>
      <c r="IU43" s="105"/>
      <c r="IV43" s="105"/>
    </row>
    <row r="44" spans="1:256" ht="6.95" customHeight="1" x14ac:dyDescent="0.25">
      <c r="A44" s="105"/>
      <c r="B44" s="109"/>
      <c r="C44" s="105"/>
      <c r="D44" s="509"/>
      <c r="E44" s="402"/>
      <c r="F44" s="593"/>
      <c r="G44" s="592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05"/>
      <c r="AF44" s="105"/>
      <c r="AG44" s="105"/>
      <c r="AH44" s="105"/>
      <c r="AI44" s="105"/>
      <c r="AJ44" s="105"/>
      <c r="AK44" s="105"/>
      <c r="AL44" s="105"/>
      <c r="AM44" s="105"/>
      <c r="AN44" s="105"/>
      <c r="AO44" s="105"/>
      <c r="AP44" s="105"/>
      <c r="AQ44" s="105"/>
      <c r="AR44" s="105"/>
      <c r="AS44" s="105"/>
      <c r="AT44" s="105"/>
      <c r="AU44" s="105"/>
      <c r="AV44" s="105"/>
      <c r="AW44" s="105"/>
      <c r="AX44" s="105"/>
      <c r="AY44" s="105"/>
      <c r="AZ44" s="105"/>
      <c r="BA44" s="105"/>
      <c r="BB44" s="105"/>
      <c r="BC44" s="105"/>
      <c r="BD44" s="105"/>
      <c r="BE44" s="105"/>
      <c r="BF44" s="105"/>
      <c r="BG44" s="105"/>
      <c r="BH44" s="105"/>
      <c r="BI44" s="105"/>
      <c r="BJ44" s="105"/>
      <c r="BK44" s="105"/>
      <c r="BL44" s="105"/>
      <c r="BM44" s="105"/>
      <c r="BN44" s="105"/>
      <c r="BO44" s="105"/>
      <c r="BP44" s="105"/>
      <c r="BQ44" s="105"/>
      <c r="BR44" s="105"/>
      <c r="BS44" s="105"/>
      <c r="BT44" s="105"/>
      <c r="BU44" s="105"/>
      <c r="BV44" s="105"/>
      <c r="BW44" s="105"/>
      <c r="BX44" s="105"/>
      <c r="BY44" s="105"/>
      <c r="BZ44" s="105"/>
      <c r="CA44" s="105"/>
      <c r="CB44" s="105"/>
      <c r="CC44" s="105"/>
      <c r="CD44" s="105"/>
      <c r="CE44" s="105"/>
      <c r="CF44" s="105"/>
      <c r="CG44" s="105"/>
      <c r="CH44" s="105"/>
      <c r="CI44" s="105"/>
      <c r="CJ44" s="105"/>
      <c r="CK44" s="105"/>
      <c r="CL44" s="105"/>
      <c r="CM44" s="105"/>
      <c r="CN44" s="105"/>
      <c r="CO44" s="105"/>
      <c r="CP44" s="105"/>
      <c r="CQ44" s="105"/>
      <c r="CR44" s="105"/>
      <c r="CS44" s="105"/>
      <c r="CT44" s="105"/>
      <c r="CU44" s="105"/>
      <c r="CV44" s="105"/>
      <c r="CW44" s="105"/>
      <c r="CX44" s="105"/>
      <c r="CY44" s="105"/>
      <c r="CZ44" s="105"/>
      <c r="DA44" s="105"/>
      <c r="DB44" s="105"/>
      <c r="DC44" s="105"/>
      <c r="DD44" s="105"/>
      <c r="DE44" s="105"/>
      <c r="DF44" s="105"/>
      <c r="DG44" s="105"/>
      <c r="DH44" s="105"/>
      <c r="DI44" s="105"/>
      <c r="DJ44" s="105"/>
      <c r="DK44" s="105"/>
      <c r="DL44" s="105"/>
      <c r="DM44" s="105"/>
      <c r="DN44" s="105"/>
      <c r="DO44" s="105"/>
      <c r="DP44" s="105"/>
      <c r="DQ44" s="105"/>
      <c r="DR44" s="105"/>
      <c r="DS44" s="105"/>
      <c r="DT44" s="105"/>
      <c r="DU44" s="105"/>
      <c r="DV44" s="105"/>
      <c r="DW44" s="105"/>
      <c r="DX44" s="105"/>
      <c r="DY44" s="105"/>
      <c r="DZ44" s="105"/>
      <c r="EA44" s="105"/>
      <c r="EB44" s="105"/>
      <c r="EC44" s="105"/>
      <c r="ED44" s="105"/>
      <c r="EE44" s="105"/>
      <c r="EF44" s="105"/>
      <c r="EG44" s="105"/>
      <c r="EH44" s="105"/>
      <c r="EI44" s="105"/>
      <c r="EJ44" s="105"/>
      <c r="EK44" s="105"/>
      <c r="EL44" s="105"/>
      <c r="EM44" s="105"/>
      <c r="EN44" s="105"/>
      <c r="EO44" s="105"/>
      <c r="EP44" s="105"/>
      <c r="EQ44" s="105"/>
      <c r="ER44" s="105"/>
      <c r="ES44" s="105"/>
      <c r="ET44" s="105"/>
      <c r="EU44" s="105"/>
      <c r="EV44" s="105"/>
      <c r="EW44" s="105"/>
      <c r="EX44" s="105"/>
      <c r="EY44" s="105"/>
      <c r="EZ44" s="105"/>
      <c r="FA44" s="105"/>
      <c r="FB44" s="105"/>
      <c r="FC44" s="105"/>
      <c r="FD44" s="105"/>
      <c r="FE44" s="105"/>
      <c r="FF44" s="105"/>
      <c r="FG44" s="105"/>
      <c r="FH44" s="105"/>
      <c r="FI44" s="105"/>
      <c r="FJ44" s="105"/>
      <c r="FK44" s="105"/>
      <c r="FL44" s="105"/>
      <c r="FM44" s="105"/>
      <c r="FN44" s="105"/>
      <c r="FO44" s="105"/>
      <c r="FP44" s="105"/>
      <c r="FQ44" s="105"/>
      <c r="FR44" s="105"/>
      <c r="FS44" s="105"/>
      <c r="FT44" s="105"/>
      <c r="FU44" s="105"/>
      <c r="FV44" s="105"/>
      <c r="FW44" s="105"/>
      <c r="FX44" s="105"/>
      <c r="FY44" s="105"/>
      <c r="FZ44" s="105"/>
      <c r="GA44" s="105"/>
      <c r="GB44" s="105"/>
      <c r="GC44" s="105"/>
      <c r="GD44" s="105"/>
      <c r="GE44" s="105"/>
      <c r="GF44" s="105"/>
      <c r="GG44" s="105"/>
      <c r="GH44" s="105"/>
      <c r="GI44" s="105"/>
      <c r="GJ44" s="105"/>
      <c r="GK44" s="105"/>
      <c r="GL44" s="105"/>
      <c r="GM44" s="105"/>
      <c r="GN44" s="105"/>
      <c r="GO44" s="105"/>
      <c r="GP44" s="105"/>
      <c r="GQ44" s="105"/>
      <c r="GR44" s="105"/>
      <c r="GS44" s="105"/>
      <c r="GT44" s="105"/>
      <c r="GU44" s="105"/>
      <c r="GV44" s="105"/>
      <c r="GW44" s="105"/>
      <c r="GX44" s="105"/>
      <c r="GY44" s="105"/>
      <c r="GZ44" s="105"/>
      <c r="HA44" s="105"/>
      <c r="HB44" s="105"/>
      <c r="HC44" s="105"/>
      <c r="HD44" s="105"/>
      <c r="HE44" s="105"/>
      <c r="HF44" s="105"/>
      <c r="HG44" s="105"/>
      <c r="HH44" s="105"/>
      <c r="HI44" s="105"/>
      <c r="HJ44" s="105"/>
      <c r="HK44" s="105"/>
      <c r="HL44" s="105"/>
      <c r="HM44" s="105"/>
      <c r="HN44" s="105"/>
      <c r="HO44" s="105"/>
      <c r="HP44" s="105"/>
      <c r="HQ44" s="105"/>
      <c r="HR44" s="105"/>
      <c r="HS44" s="105"/>
      <c r="HT44" s="105"/>
      <c r="HU44" s="105"/>
      <c r="HV44" s="105"/>
      <c r="HW44" s="105"/>
      <c r="HX44" s="105"/>
      <c r="HY44" s="105"/>
      <c r="HZ44" s="105"/>
      <c r="IA44" s="105"/>
      <c r="IB44" s="105"/>
      <c r="IC44" s="105"/>
      <c r="ID44" s="105"/>
      <c r="IE44" s="105"/>
      <c r="IF44" s="105"/>
      <c r="IG44" s="105"/>
      <c r="IH44" s="105"/>
      <c r="II44" s="105"/>
      <c r="IJ44" s="105"/>
      <c r="IK44" s="105"/>
      <c r="IL44" s="105"/>
      <c r="IM44" s="105"/>
      <c r="IN44" s="105"/>
      <c r="IO44" s="105"/>
      <c r="IP44" s="105"/>
      <c r="IQ44" s="105"/>
      <c r="IR44" s="105"/>
      <c r="IS44" s="105"/>
      <c r="IT44" s="105"/>
      <c r="IU44" s="105"/>
      <c r="IV44" s="105"/>
    </row>
    <row r="45" spans="1:256" ht="15.75" x14ac:dyDescent="0.2">
      <c r="A45" s="105"/>
      <c r="B45" s="109"/>
      <c r="C45" s="105"/>
      <c r="D45" s="509">
        <v>19</v>
      </c>
      <c r="E45" s="402" t="s">
        <v>186</v>
      </c>
      <c r="F45" s="509"/>
      <c r="G45" s="402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05"/>
      <c r="AF45" s="105"/>
      <c r="AG45" s="105"/>
      <c r="AH45" s="105"/>
      <c r="AI45" s="105"/>
      <c r="AJ45" s="105"/>
      <c r="AK45" s="105"/>
      <c r="AL45" s="105"/>
      <c r="AM45" s="105"/>
      <c r="AN45" s="105"/>
      <c r="AO45" s="105"/>
      <c r="AP45" s="105"/>
      <c r="AQ45" s="105"/>
      <c r="AR45" s="105"/>
      <c r="AS45" s="105"/>
      <c r="AT45" s="105"/>
      <c r="AU45" s="105"/>
      <c r="AV45" s="105"/>
      <c r="AW45" s="105"/>
      <c r="AX45" s="105"/>
      <c r="AY45" s="105"/>
      <c r="AZ45" s="105"/>
      <c r="BA45" s="105"/>
      <c r="BB45" s="105"/>
      <c r="BC45" s="105"/>
      <c r="BD45" s="105"/>
      <c r="BE45" s="105"/>
      <c r="BF45" s="105"/>
      <c r="BG45" s="105"/>
      <c r="BH45" s="105"/>
      <c r="BI45" s="105"/>
      <c r="BJ45" s="105"/>
      <c r="BK45" s="105"/>
      <c r="BL45" s="105"/>
      <c r="BM45" s="105"/>
      <c r="BN45" s="105"/>
      <c r="BO45" s="105"/>
      <c r="BP45" s="105"/>
      <c r="BQ45" s="105"/>
      <c r="BR45" s="105"/>
      <c r="BS45" s="105"/>
      <c r="BT45" s="105"/>
      <c r="BU45" s="105"/>
      <c r="BV45" s="105"/>
      <c r="BW45" s="105"/>
      <c r="BX45" s="105"/>
      <c r="BY45" s="105"/>
      <c r="BZ45" s="105"/>
      <c r="CA45" s="105"/>
      <c r="CB45" s="105"/>
      <c r="CC45" s="105"/>
      <c r="CD45" s="105"/>
      <c r="CE45" s="105"/>
      <c r="CF45" s="105"/>
      <c r="CG45" s="105"/>
      <c r="CH45" s="105"/>
      <c r="CI45" s="105"/>
      <c r="CJ45" s="105"/>
      <c r="CK45" s="105"/>
      <c r="CL45" s="105"/>
      <c r="CM45" s="105"/>
      <c r="CN45" s="105"/>
      <c r="CO45" s="105"/>
      <c r="CP45" s="105"/>
      <c r="CQ45" s="105"/>
      <c r="CR45" s="105"/>
      <c r="CS45" s="105"/>
      <c r="CT45" s="105"/>
      <c r="CU45" s="105"/>
      <c r="CV45" s="105"/>
      <c r="CW45" s="105"/>
      <c r="CX45" s="105"/>
      <c r="CY45" s="105"/>
      <c r="CZ45" s="105"/>
      <c r="DA45" s="105"/>
      <c r="DB45" s="105"/>
      <c r="DC45" s="105"/>
      <c r="DD45" s="105"/>
      <c r="DE45" s="105"/>
      <c r="DF45" s="105"/>
      <c r="DG45" s="105"/>
      <c r="DH45" s="105"/>
      <c r="DI45" s="105"/>
      <c r="DJ45" s="105"/>
      <c r="DK45" s="105"/>
      <c r="DL45" s="105"/>
      <c r="DM45" s="105"/>
      <c r="DN45" s="105"/>
      <c r="DO45" s="105"/>
      <c r="DP45" s="105"/>
      <c r="DQ45" s="105"/>
      <c r="DR45" s="105"/>
      <c r="DS45" s="105"/>
      <c r="DT45" s="105"/>
      <c r="DU45" s="105"/>
      <c r="DV45" s="105"/>
      <c r="DW45" s="105"/>
      <c r="DX45" s="105"/>
      <c r="DY45" s="105"/>
      <c r="DZ45" s="105"/>
      <c r="EA45" s="105"/>
      <c r="EB45" s="105"/>
      <c r="EC45" s="105"/>
      <c r="ED45" s="105"/>
      <c r="EE45" s="105"/>
      <c r="EF45" s="105"/>
      <c r="EG45" s="105"/>
      <c r="EH45" s="105"/>
      <c r="EI45" s="105"/>
      <c r="EJ45" s="105"/>
      <c r="EK45" s="105"/>
      <c r="EL45" s="105"/>
      <c r="EM45" s="105"/>
      <c r="EN45" s="105"/>
      <c r="EO45" s="105"/>
      <c r="EP45" s="105"/>
      <c r="EQ45" s="105"/>
      <c r="ER45" s="105"/>
      <c r="ES45" s="105"/>
      <c r="ET45" s="105"/>
      <c r="EU45" s="105"/>
      <c r="EV45" s="105"/>
      <c r="EW45" s="105"/>
      <c r="EX45" s="105"/>
      <c r="EY45" s="105"/>
      <c r="EZ45" s="105"/>
      <c r="FA45" s="105"/>
      <c r="FB45" s="105"/>
      <c r="FC45" s="105"/>
      <c r="FD45" s="105"/>
      <c r="FE45" s="105"/>
      <c r="FF45" s="105"/>
      <c r="FG45" s="105"/>
      <c r="FH45" s="105"/>
      <c r="FI45" s="105"/>
      <c r="FJ45" s="105"/>
      <c r="FK45" s="105"/>
      <c r="FL45" s="105"/>
      <c r="FM45" s="105"/>
      <c r="FN45" s="105"/>
      <c r="FO45" s="105"/>
      <c r="FP45" s="105"/>
      <c r="FQ45" s="105"/>
      <c r="FR45" s="105"/>
      <c r="FS45" s="105"/>
      <c r="FT45" s="105"/>
      <c r="FU45" s="105"/>
      <c r="FV45" s="105"/>
      <c r="FW45" s="105"/>
      <c r="FX45" s="105"/>
      <c r="FY45" s="105"/>
      <c r="FZ45" s="105"/>
      <c r="GA45" s="105"/>
      <c r="GB45" s="105"/>
      <c r="GC45" s="105"/>
      <c r="GD45" s="105"/>
      <c r="GE45" s="105"/>
      <c r="GF45" s="105"/>
      <c r="GG45" s="105"/>
      <c r="GH45" s="105"/>
      <c r="GI45" s="105"/>
      <c r="GJ45" s="105"/>
      <c r="GK45" s="105"/>
      <c r="GL45" s="105"/>
      <c r="GM45" s="105"/>
      <c r="GN45" s="105"/>
      <c r="GO45" s="105"/>
      <c r="GP45" s="105"/>
      <c r="GQ45" s="105"/>
      <c r="GR45" s="105"/>
      <c r="GS45" s="105"/>
      <c r="GT45" s="105"/>
      <c r="GU45" s="105"/>
      <c r="GV45" s="105"/>
      <c r="GW45" s="105"/>
      <c r="GX45" s="105"/>
      <c r="GY45" s="105"/>
      <c r="GZ45" s="105"/>
      <c r="HA45" s="105"/>
      <c r="HB45" s="105"/>
      <c r="HC45" s="105"/>
      <c r="HD45" s="105"/>
      <c r="HE45" s="105"/>
      <c r="HF45" s="105"/>
      <c r="HG45" s="105"/>
      <c r="HH45" s="105"/>
      <c r="HI45" s="105"/>
      <c r="HJ45" s="105"/>
      <c r="HK45" s="105"/>
      <c r="HL45" s="105"/>
      <c r="HM45" s="105"/>
      <c r="HN45" s="105"/>
      <c r="HO45" s="105"/>
      <c r="HP45" s="105"/>
      <c r="HQ45" s="105"/>
      <c r="HR45" s="105"/>
      <c r="HS45" s="105"/>
      <c r="HT45" s="105"/>
      <c r="HU45" s="105"/>
      <c r="HV45" s="105"/>
      <c r="HW45" s="105"/>
      <c r="HX45" s="105"/>
      <c r="HY45" s="105"/>
      <c r="HZ45" s="105"/>
      <c r="IA45" s="105"/>
      <c r="IB45" s="105"/>
      <c r="IC45" s="105"/>
      <c r="ID45" s="105"/>
      <c r="IE45" s="105"/>
      <c r="IF45" s="105"/>
      <c r="IG45" s="105"/>
      <c r="IH45" s="105"/>
      <c r="II45" s="105"/>
      <c r="IJ45" s="105"/>
      <c r="IK45" s="105"/>
      <c r="IL45" s="105"/>
      <c r="IM45" s="105"/>
      <c r="IN45" s="105"/>
      <c r="IO45" s="105"/>
      <c r="IP45" s="105"/>
      <c r="IQ45" s="105"/>
      <c r="IR45" s="105"/>
      <c r="IS45" s="105"/>
      <c r="IT45" s="105"/>
      <c r="IU45" s="105"/>
      <c r="IV45" s="105"/>
    </row>
    <row r="46" spans="1:256" ht="15.75" x14ac:dyDescent="0.25">
      <c r="A46" s="105"/>
      <c r="B46" s="109"/>
      <c r="C46" s="105"/>
      <c r="D46" s="462"/>
      <c r="E46" s="463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05"/>
      <c r="AF46" s="105"/>
      <c r="AG46" s="105"/>
      <c r="AH46" s="105"/>
      <c r="AI46" s="105"/>
      <c r="AJ46" s="105"/>
      <c r="AK46" s="105"/>
      <c r="AL46" s="105"/>
      <c r="AM46" s="105"/>
      <c r="AN46" s="105"/>
      <c r="AO46" s="105"/>
      <c r="AP46" s="105"/>
      <c r="AQ46" s="105"/>
      <c r="AR46" s="105"/>
      <c r="AS46" s="105"/>
      <c r="AT46" s="105"/>
      <c r="AU46" s="105"/>
      <c r="AV46" s="105"/>
      <c r="AW46" s="105"/>
      <c r="AX46" s="105"/>
      <c r="AY46" s="105"/>
      <c r="AZ46" s="105"/>
      <c r="BA46" s="105"/>
      <c r="BB46" s="105"/>
      <c r="BC46" s="105"/>
      <c r="BD46" s="105"/>
      <c r="BE46" s="105"/>
      <c r="BF46" s="105"/>
      <c r="BG46" s="105"/>
      <c r="BH46" s="105"/>
      <c r="BI46" s="105"/>
      <c r="BJ46" s="105"/>
      <c r="BK46" s="105"/>
      <c r="BL46" s="105"/>
      <c r="BM46" s="105"/>
      <c r="BN46" s="105"/>
      <c r="BO46" s="105"/>
      <c r="BP46" s="105"/>
      <c r="BQ46" s="105"/>
      <c r="BR46" s="105"/>
      <c r="BS46" s="105"/>
      <c r="BT46" s="105"/>
      <c r="BU46" s="105"/>
      <c r="BV46" s="105"/>
      <c r="BW46" s="105"/>
      <c r="BX46" s="105"/>
      <c r="BY46" s="105"/>
      <c r="BZ46" s="105"/>
      <c r="CA46" s="105"/>
      <c r="CB46" s="105"/>
      <c r="CC46" s="105"/>
      <c r="CD46" s="105"/>
      <c r="CE46" s="105"/>
      <c r="CF46" s="105"/>
      <c r="CG46" s="105"/>
      <c r="CH46" s="105"/>
      <c r="CI46" s="105"/>
      <c r="CJ46" s="105"/>
      <c r="CK46" s="105"/>
      <c r="CL46" s="105"/>
      <c r="CM46" s="105"/>
      <c r="CN46" s="105"/>
      <c r="CO46" s="105"/>
      <c r="CP46" s="105"/>
      <c r="CQ46" s="105"/>
      <c r="CR46" s="105"/>
      <c r="CS46" s="105"/>
      <c r="CT46" s="105"/>
      <c r="CU46" s="105"/>
      <c r="CV46" s="105"/>
      <c r="CW46" s="105"/>
      <c r="CX46" s="105"/>
      <c r="CY46" s="105"/>
      <c r="CZ46" s="105"/>
      <c r="DA46" s="105"/>
      <c r="DB46" s="105"/>
      <c r="DC46" s="105"/>
      <c r="DD46" s="105"/>
      <c r="DE46" s="105"/>
      <c r="DF46" s="105"/>
      <c r="DG46" s="105"/>
      <c r="DH46" s="105"/>
      <c r="DI46" s="105"/>
      <c r="DJ46" s="105"/>
      <c r="DK46" s="105"/>
      <c r="DL46" s="105"/>
      <c r="DM46" s="105"/>
      <c r="DN46" s="105"/>
      <c r="DO46" s="105"/>
      <c r="DP46" s="105"/>
      <c r="DQ46" s="105"/>
      <c r="DR46" s="105"/>
      <c r="DS46" s="105"/>
      <c r="DT46" s="105"/>
      <c r="DU46" s="105"/>
      <c r="DV46" s="105"/>
      <c r="DW46" s="105"/>
      <c r="DX46" s="105"/>
      <c r="DY46" s="105"/>
      <c r="DZ46" s="105"/>
      <c r="EA46" s="105"/>
      <c r="EB46" s="105"/>
      <c r="EC46" s="105"/>
      <c r="ED46" s="105"/>
      <c r="EE46" s="105"/>
      <c r="EF46" s="105"/>
      <c r="EG46" s="105"/>
      <c r="EH46" s="105"/>
      <c r="EI46" s="105"/>
      <c r="EJ46" s="105"/>
      <c r="EK46" s="105"/>
      <c r="EL46" s="105"/>
      <c r="EM46" s="105"/>
      <c r="EN46" s="105"/>
      <c r="EO46" s="105"/>
      <c r="EP46" s="105"/>
      <c r="EQ46" s="105"/>
      <c r="ER46" s="105"/>
      <c r="ES46" s="105"/>
      <c r="ET46" s="105"/>
      <c r="EU46" s="105"/>
      <c r="EV46" s="105"/>
      <c r="EW46" s="105"/>
      <c r="EX46" s="105"/>
      <c r="EY46" s="105"/>
      <c r="EZ46" s="105"/>
      <c r="FA46" s="105"/>
      <c r="FB46" s="105"/>
      <c r="FC46" s="105"/>
      <c r="FD46" s="105"/>
      <c r="FE46" s="105"/>
      <c r="FF46" s="105"/>
      <c r="FG46" s="105"/>
      <c r="FH46" s="105"/>
      <c r="FI46" s="105"/>
      <c r="FJ46" s="105"/>
      <c r="FK46" s="105"/>
      <c r="FL46" s="105"/>
      <c r="FM46" s="105"/>
      <c r="FN46" s="105"/>
      <c r="FO46" s="105"/>
      <c r="FP46" s="105"/>
      <c r="FQ46" s="105"/>
      <c r="FR46" s="105"/>
      <c r="FS46" s="105"/>
      <c r="FT46" s="105"/>
      <c r="FU46" s="105"/>
      <c r="FV46" s="105"/>
      <c r="FW46" s="105"/>
      <c r="FX46" s="105"/>
      <c r="FY46" s="105"/>
      <c r="FZ46" s="105"/>
      <c r="GA46" s="105"/>
      <c r="GB46" s="105"/>
      <c r="GC46" s="105"/>
      <c r="GD46" s="105"/>
      <c r="GE46" s="105"/>
      <c r="GF46" s="105"/>
      <c r="GG46" s="105"/>
      <c r="GH46" s="105"/>
      <c r="GI46" s="105"/>
      <c r="GJ46" s="105"/>
      <c r="GK46" s="105"/>
      <c r="GL46" s="105"/>
      <c r="GM46" s="105"/>
      <c r="GN46" s="105"/>
      <c r="GO46" s="105"/>
      <c r="GP46" s="105"/>
      <c r="GQ46" s="105"/>
      <c r="GR46" s="105"/>
      <c r="GS46" s="105"/>
      <c r="GT46" s="105"/>
      <c r="GU46" s="105"/>
      <c r="GV46" s="105"/>
      <c r="GW46" s="105"/>
      <c r="GX46" s="105"/>
      <c r="GY46" s="105"/>
      <c r="GZ46" s="105"/>
      <c r="HA46" s="105"/>
      <c r="HB46" s="105"/>
      <c r="HC46" s="105"/>
      <c r="HD46" s="105"/>
      <c r="HE46" s="105"/>
      <c r="HF46" s="105"/>
      <c r="HG46" s="105"/>
      <c r="HH46" s="105"/>
      <c r="HI46" s="105"/>
      <c r="HJ46" s="105"/>
      <c r="HK46" s="105"/>
      <c r="HL46" s="105"/>
      <c r="HM46" s="105"/>
      <c r="HN46" s="105"/>
      <c r="HO46" s="105"/>
      <c r="HP46" s="105"/>
      <c r="HQ46" s="105"/>
      <c r="HR46" s="105"/>
      <c r="HS46" s="105"/>
      <c r="HT46" s="105"/>
      <c r="HU46" s="105"/>
      <c r="HV46" s="105"/>
      <c r="HW46" s="105"/>
      <c r="HX46" s="105"/>
      <c r="HY46" s="105"/>
      <c r="HZ46" s="105"/>
      <c r="IA46" s="105"/>
      <c r="IB46" s="105"/>
      <c r="IC46" s="105"/>
      <c r="ID46" s="105"/>
      <c r="IE46" s="105"/>
      <c r="IF46" s="105"/>
      <c r="IG46" s="105"/>
      <c r="IH46" s="105"/>
      <c r="II46" s="105"/>
      <c r="IJ46" s="105"/>
      <c r="IK46" s="105"/>
      <c r="IL46" s="105"/>
      <c r="IM46" s="105"/>
      <c r="IN46" s="105"/>
      <c r="IO46" s="105"/>
      <c r="IP46" s="105"/>
      <c r="IQ46" s="105"/>
      <c r="IR46" s="105"/>
      <c r="IS46" s="105"/>
      <c r="IT46" s="105"/>
      <c r="IU46" s="105"/>
      <c r="IV46" s="105"/>
    </row>
    <row r="47" spans="1:256" ht="15.75" x14ac:dyDescent="0.2">
      <c r="A47" s="105"/>
      <c r="B47" s="109"/>
      <c r="C47" s="105"/>
      <c r="D47" s="508" t="s">
        <v>362</v>
      </c>
      <c r="E47" s="508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05"/>
      <c r="AF47" s="105"/>
      <c r="AG47" s="105"/>
      <c r="AH47" s="105"/>
      <c r="AI47" s="105"/>
      <c r="AJ47" s="105"/>
      <c r="AK47" s="105"/>
      <c r="AL47" s="105"/>
      <c r="AM47" s="105"/>
      <c r="AN47" s="105"/>
      <c r="AO47" s="105"/>
      <c r="AP47" s="105"/>
      <c r="AQ47" s="105"/>
      <c r="AR47" s="105"/>
      <c r="AS47" s="105"/>
      <c r="AT47" s="105"/>
      <c r="AU47" s="105"/>
      <c r="AV47" s="105"/>
      <c r="AW47" s="105"/>
      <c r="AX47" s="105"/>
      <c r="AY47" s="105"/>
      <c r="AZ47" s="105"/>
      <c r="BA47" s="105"/>
      <c r="BB47" s="105"/>
      <c r="BC47" s="105"/>
      <c r="BD47" s="105"/>
      <c r="BE47" s="105"/>
      <c r="BF47" s="105"/>
      <c r="BG47" s="105"/>
      <c r="BH47" s="105"/>
      <c r="BI47" s="105"/>
      <c r="BJ47" s="105"/>
      <c r="BK47" s="105"/>
      <c r="BL47" s="105"/>
      <c r="BM47" s="105"/>
      <c r="BN47" s="105"/>
      <c r="BO47" s="105"/>
      <c r="BP47" s="105"/>
      <c r="BQ47" s="105"/>
      <c r="BR47" s="105"/>
      <c r="BS47" s="105"/>
      <c r="BT47" s="105"/>
      <c r="BU47" s="105"/>
      <c r="BV47" s="105"/>
      <c r="BW47" s="105"/>
      <c r="BX47" s="105"/>
      <c r="BY47" s="105"/>
      <c r="BZ47" s="105"/>
      <c r="CA47" s="105"/>
      <c r="CB47" s="105"/>
      <c r="CC47" s="105"/>
      <c r="CD47" s="105"/>
      <c r="CE47" s="105"/>
      <c r="CF47" s="105"/>
      <c r="CG47" s="105"/>
      <c r="CH47" s="105"/>
      <c r="CI47" s="105"/>
      <c r="CJ47" s="105"/>
      <c r="CK47" s="105"/>
      <c r="CL47" s="105"/>
      <c r="CM47" s="105"/>
      <c r="CN47" s="105"/>
      <c r="CO47" s="105"/>
      <c r="CP47" s="105"/>
      <c r="CQ47" s="105"/>
      <c r="CR47" s="105"/>
      <c r="CS47" s="105"/>
      <c r="CT47" s="105"/>
      <c r="CU47" s="105"/>
      <c r="CV47" s="105"/>
      <c r="CW47" s="105"/>
      <c r="CX47" s="105"/>
      <c r="CY47" s="105"/>
      <c r="CZ47" s="105"/>
      <c r="DA47" s="105"/>
      <c r="DB47" s="105"/>
      <c r="DC47" s="105"/>
      <c r="DD47" s="105"/>
      <c r="DE47" s="105"/>
      <c r="DF47" s="105"/>
      <c r="DG47" s="105"/>
      <c r="DH47" s="105"/>
      <c r="DI47" s="105"/>
      <c r="DJ47" s="105"/>
      <c r="DK47" s="105"/>
      <c r="DL47" s="105"/>
      <c r="DM47" s="105"/>
      <c r="DN47" s="105"/>
      <c r="DO47" s="105"/>
      <c r="DP47" s="105"/>
      <c r="DQ47" s="105"/>
      <c r="DR47" s="105"/>
      <c r="DS47" s="105"/>
      <c r="DT47" s="105"/>
      <c r="DU47" s="105"/>
      <c r="DV47" s="105"/>
      <c r="DW47" s="105"/>
      <c r="DX47" s="105"/>
      <c r="DY47" s="105"/>
      <c r="DZ47" s="105"/>
      <c r="EA47" s="105"/>
      <c r="EB47" s="105"/>
      <c r="EC47" s="105"/>
      <c r="ED47" s="105"/>
      <c r="EE47" s="105"/>
      <c r="EF47" s="105"/>
      <c r="EG47" s="105"/>
      <c r="EH47" s="105"/>
      <c r="EI47" s="105"/>
      <c r="EJ47" s="105"/>
      <c r="EK47" s="105"/>
      <c r="EL47" s="105"/>
      <c r="EM47" s="105"/>
      <c r="EN47" s="105"/>
      <c r="EO47" s="105"/>
      <c r="EP47" s="105"/>
      <c r="EQ47" s="105"/>
      <c r="ER47" s="105"/>
      <c r="ES47" s="105"/>
      <c r="ET47" s="105"/>
      <c r="EU47" s="105"/>
      <c r="EV47" s="105"/>
      <c r="EW47" s="105"/>
      <c r="EX47" s="105"/>
      <c r="EY47" s="105"/>
      <c r="EZ47" s="105"/>
      <c r="FA47" s="105"/>
      <c r="FB47" s="105"/>
      <c r="FC47" s="105"/>
      <c r="FD47" s="105"/>
      <c r="FE47" s="105"/>
      <c r="FF47" s="105"/>
      <c r="FG47" s="105"/>
      <c r="FH47" s="105"/>
      <c r="FI47" s="105"/>
      <c r="FJ47" s="105"/>
      <c r="FK47" s="105"/>
      <c r="FL47" s="105"/>
      <c r="FM47" s="105"/>
      <c r="FN47" s="105"/>
      <c r="FO47" s="105"/>
      <c r="FP47" s="105"/>
      <c r="FQ47" s="105"/>
      <c r="FR47" s="105"/>
      <c r="FS47" s="105"/>
      <c r="FT47" s="105"/>
      <c r="FU47" s="105"/>
      <c r="FV47" s="105"/>
      <c r="FW47" s="105"/>
      <c r="FX47" s="105"/>
      <c r="FY47" s="105"/>
      <c r="FZ47" s="105"/>
      <c r="GA47" s="105"/>
      <c r="GB47" s="105"/>
      <c r="GC47" s="105"/>
      <c r="GD47" s="105"/>
      <c r="GE47" s="105"/>
      <c r="GF47" s="105"/>
      <c r="GG47" s="105"/>
      <c r="GH47" s="105"/>
      <c r="GI47" s="105"/>
      <c r="GJ47" s="105"/>
      <c r="GK47" s="105"/>
      <c r="GL47" s="105"/>
      <c r="GM47" s="105"/>
      <c r="GN47" s="105"/>
      <c r="GO47" s="105"/>
      <c r="GP47" s="105"/>
      <c r="GQ47" s="105"/>
      <c r="GR47" s="105"/>
      <c r="GS47" s="105"/>
      <c r="GT47" s="105"/>
      <c r="GU47" s="105"/>
      <c r="GV47" s="105"/>
      <c r="GW47" s="105"/>
      <c r="GX47" s="105"/>
      <c r="GY47" s="105"/>
      <c r="GZ47" s="105"/>
      <c r="HA47" s="105"/>
      <c r="HB47" s="105"/>
      <c r="HC47" s="105"/>
      <c r="HD47" s="105"/>
      <c r="HE47" s="105"/>
      <c r="HF47" s="105"/>
      <c r="HG47" s="105"/>
      <c r="HH47" s="105"/>
      <c r="HI47" s="105"/>
      <c r="HJ47" s="105"/>
      <c r="HK47" s="105"/>
      <c r="HL47" s="105"/>
      <c r="HM47" s="105"/>
      <c r="HN47" s="105"/>
      <c r="HO47" s="105"/>
      <c r="HP47" s="105"/>
      <c r="HQ47" s="105"/>
      <c r="HR47" s="105"/>
      <c r="HS47" s="105"/>
      <c r="HT47" s="105"/>
      <c r="HU47" s="105"/>
      <c r="HV47" s="105"/>
      <c r="HW47" s="105"/>
      <c r="HX47" s="105"/>
      <c r="HY47" s="105"/>
      <c r="HZ47" s="105"/>
      <c r="IA47" s="105"/>
      <c r="IB47" s="105"/>
      <c r="IC47" s="105"/>
      <c r="ID47" s="105"/>
      <c r="IE47" s="105"/>
      <c r="IF47" s="105"/>
      <c r="IG47" s="105"/>
      <c r="IH47" s="105"/>
      <c r="II47" s="105"/>
      <c r="IJ47" s="105"/>
      <c r="IK47" s="105"/>
      <c r="IL47" s="105"/>
      <c r="IM47" s="105"/>
      <c r="IN47" s="105"/>
      <c r="IO47" s="105"/>
      <c r="IP47" s="105"/>
      <c r="IQ47" s="105"/>
      <c r="IR47" s="105"/>
      <c r="IS47" s="105"/>
      <c r="IT47" s="105"/>
      <c r="IU47" s="105"/>
      <c r="IV47" s="105"/>
    </row>
    <row r="48" spans="1:256" x14ac:dyDescent="0.2">
      <c r="A48" s="105"/>
      <c r="B48" s="105"/>
      <c r="C48" s="105"/>
      <c r="D48" s="305"/>
      <c r="E48" s="3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05"/>
      <c r="AF48" s="105"/>
      <c r="AG48" s="105"/>
      <c r="AH48" s="105"/>
      <c r="AI48" s="105"/>
      <c r="AJ48" s="105"/>
      <c r="AK48" s="105"/>
      <c r="AL48" s="105"/>
      <c r="AM48" s="105"/>
      <c r="AN48" s="105"/>
      <c r="AO48" s="105"/>
      <c r="AP48" s="105"/>
      <c r="AQ48" s="105"/>
      <c r="AR48" s="105"/>
      <c r="AS48" s="105"/>
      <c r="AT48" s="105"/>
      <c r="AU48" s="105"/>
      <c r="AV48" s="105"/>
      <c r="AW48" s="105"/>
      <c r="AX48" s="105"/>
      <c r="AY48" s="105"/>
      <c r="AZ48" s="105"/>
      <c r="BA48" s="105"/>
      <c r="BB48" s="105"/>
      <c r="BC48" s="105"/>
      <c r="BD48" s="105"/>
      <c r="BE48" s="105"/>
      <c r="BF48" s="105"/>
      <c r="BG48" s="105"/>
      <c r="BH48" s="105"/>
      <c r="BI48" s="105"/>
      <c r="BJ48" s="105"/>
      <c r="BK48" s="105"/>
      <c r="BL48" s="105"/>
      <c r="BM48" s="105"/>
      <c r="BN48" s="105"/>
      <c r="BO48" s="105"/>
      <c r="BP48" s="105"/>
      <c r="BQ48" s="105"/>
      <c r="BR48" s="105"/>
      <c r="BS48" s="105"/>
      <c r="BT48" s="105"/>
      <c r="BU48" s="105"/>
      <c r="BV48" s="105"/>
      <c r="BW48" s="105"/>
      <c r="BX48" s="105"/>
      <c r="BY48" s="105"/>
      <c r="BZ48" s="105"/>
      <c r="CA48" s="105"/>
      <c r="CB48" s="105"/>
      <c r="CC48" s="105"/>
      <c r="CD48" s="105"/>
      <c r="CE48" s="105"/>
      <c r="CF48" s="105"/>
      <c r="CG48" s="105"/>
      <c r="CH48" s="105"/>
      <c r="CI48" s="105"/>
      <c r="CJ48" s="105"/>
      <c r="CK48" s="105"/>
      <c r="CL48" s="105"/>
      <c r="CM48" s="105"/>
      <c r="CN48" s="105"/>
      <c r="CO48" s="105"/>
      <c r="CP48" s="105"/>
      <c r="CQ48" s="105"/>
      <c r="CR48" s="105"/>
      <c r="CS48" s="105"/>
      <c r="CT48" s="105"/>
      <c r="CU48" s="105"/>
      <c r="CV48" s="105"/>
      <c r="CW48" s="105"/>
      <c r="CX48" s="105"/>
      <c r="CY48" s="105"/>
      <c r="CZ48" s="105"/>
      <c r="DA48" s="105"/>
      <c r="DB48" s="105"/>
      <c r="DC48" s="105"/>
      <c r="DD48" s="105"/>
      <c r="DE48" s="105"/>
      <c r="DF48" s="105"/>
      <c r="DG48" s="105"/>
      <c r="DH48" s="105"/>
      <c r="DI48" s="105"/>
      <c r="DJ48" s="105"/>
      <c r="DK48" s="105"/>
      <c r="DL48" s="105"/>
      <c r="DM48" s="105"/>
      <c r="DN48" s="105"/>
      <c r="DO48" s="105"/>
      <c r="DP48" s="105"/>
      <c r="DQ48" s="105"/>
      <c r="DR48" s="105"/>
      <c r="DS48" s="105"/>
      <c r="DT48" s="105"/>
      <c r="DU48" s="105"/>
      <c r="DV48" s="105"/>
      <c r="DW48" s="105"/>
      <c r="DX48" s="105"/>
      <c r="DY48" s="105"/>
      <c r="DZ48" s="105"/>
      <c r="EA48" s="105"/>
      <c r="EB48" s="105"/>
      <c r="EC48" s="105"/>
      <c r="ED48" s="105"/>
      <c r="EE48" s="105"/>
      <c r="EF48" s="105"/>
      <c r="EG48" s="105"/>
      <c r="EH48" s="105"/>
      <c r="EI48" s="105"/>
      <c r="EJ48" s="105"/>
      <c r="EK48" s="105"/>
      <c r="EL48" s="105"/>
      <c r="EM48" s="105"/>
      <c r="EN48" s="105"/>
      <c r="EO48" s="105"/>
      <c r="EP48" s="105"/>
      <c r="EQ48" s="105"/>
      <c r="ER48" s="105"/>
      <c r="ES48" s="105"/>
      <c r="ET48" s="105"/>
      <c r="EU48" s="105"/>
      <c r="EV48" s="105"/>
      <c r="EW48" s="105"/>
      <c r="EX48" s="105"/>
      <c r="EY48" s="105"/>
      <c r="EZ48" s="105"/>
      <c r="FA48" s="105"/>
      <c r="FB48" s="105"/>
      <c r="FC48" s="105"/>
      <c r="FD48" s="105"/>
      <c r="FE48" s="105"/>
      <c r="FF48" s="105"/>
      <c r="FG48" s="105"/>
      <c r="FH48" s="105"/>
      <c r="FI48" s="105"/>
      <c r="FJ48" s="105"/>
      <c r="FK48" s="105"/>
      <c r="FL48" s="105"/>
      <c r="FM48" s="105"/>
      <c r="FN48" s="105"/>
      <c r="FO48" s="105"/>
      <c r="FP48" s="105"/>
      <c r="FQ48" s="105"/>
      <c r="FR48" s="105"/>
      <c r="FS48" s="105"/>
      <c r="FT48" s="105"/>
      <c r="FU48" s="105"/>
      <c r="FV48" s="105"/>
      <c r="FW48" s="105"/>
      <c r="FX48" s="105"/>
      <c r="FY48" s="105"/>
      <c r="FZ48" s="105"/>
      <c r="GA48" s="105"/>
      <c r="GB48" s="105"/>
      <c r="GC48" s="105"/>
      <c r="GD48" s="105"/>
      <c r="GE48" s="105"/>
      <c r="GF48" s="105"/>
      <c r="GG48" s="105"/>
      <c r="GH48" s="105"/>
      <c r="GI48" s="105"/>
      <c r="GJ48" s="105"/>
      <c r="GK48" s="105"/>
      <c r="GL48" s="105"/>
      <c r="GM48" s="105"/>
      <c r="GN48" s="105"/>
      <c r="GO48" s="105"/>
      <c r="GP48" s="105"/>
      <c r="GQ48" s="105"/>
      <c r="GR48" s="105"/>
      <c r="GS48" s="105"/>
      <c r="GT48" s="105"/>
      <c r="GU48" s="105"/>
      <c r="GV48" s="105"/>
      <c r="GW48" s="105"/>
      <c r="GX48" s="105"/>
      <c r="GY48" s="105"/>
      <c r="GZ48" s="105"/>
      <c r="HA48" s="105"/>
      <c r="HB48" s="105"/>
      <c r="HC48" s="105"/>
      <c r="HD48" s="105"/>
      <c r="HE48" s="105"/>
      <c r="HF48" s="105"/>
      <c r="HG48" s="105"/>
      <c r="HH48" s="105"/>
      <c r="HI48" s="105"/>
      <c r="HJ48" s="105"/>
      <c r="HK48" s="105"/>
      <c r="HL48" s="105"/>
      <c r="HM48" s="105"/>
      <c r="HN48" s="105"/>
      <c r="HO48" s="105"/>
      <c r="HP48" s="105"/>
      <c r="HQ48" s="105"/>
      <c r="HR48" s="105"/>
      <c r="HS48" s="105"/>
      <c r="HT48" s="105"/>
      <c r="HU48" s="105"/>
      <c r="HV48" s="105"/>
      <c r="HW48" s="105"/>
      <c r="HX48" s="105"/>
      <c r="HY48" s="105"/>
      <c r="HZ48" s="105"/>
      <c r="IA48" s="105"/>
      <c r="IB48" s="105"/>
      <c r="IC48" s="105"/>
      <c r="ID48" s="105"/>
      <c r="IE48" s="105"/>
      <c r="IF48" s="105"/>
      <c r="IG48" s="105"/>
      <c r="IH48" s="105"/>
      <c r="II48" s="105"/>
      <c r="IJ48" s="105"/>
      <c r="IK48" s="105"/>
      <c r="IL48" s="105"/>
      <c r="IM48" s="105"/>
      <c r="IN48" s="105"/>
      <c r="IO48" s="105"/>
      <c r="IP48" s="105"/>
      <c r="IQ48" s="105"/>
      <c r="IR48" s="105"/>
      <c r="IS48" s="105"/>
      <c r="IT48" s="105"/>
      <c r="IU48" s="105"/>
      <c r="IV48" s="105"/>
    </row>
    <row r="49" spans="3:7" x14ac:dyDescent="0.2">
      <c r="D49" s="508" t="s">
        <v>363</v>
      </c>
      <c r="E49" s="508"/>
    </row>
    <row r="50" spans="3:7" x14ac:dyDescent="0.2">
      <c r="D50" s="305"/>
      <c r="E50" s="305"/>
    </row>
    <row r="51" spans="3:7" x14ac:dyDescent="0.2">
      <c r="C51" s="110"/>
      <c r="D51" s="508"/>
      <c r="E51" s="105"/>
    </row>
    <row r="52" spans="3:7" x14ac:dyDescent="0.2">
      <c r="D52" s="305"/>
      <c r="E52" s="105"/>
    </row>
    <row r="53" spans="3:7" ht="20.25" x14ac:dyDescent="0.3">
      <c r="C53" s="594"/>
      <c r="D53" s="508"/>
      <c r="E53" s="105"/>
      <c r="F53" s="594"/>
      <c r="G53" s="594"/>
    </row>
    <row r="54" spans="3:7" x14ac:dyDescent="0.2">
      <c r="D54" s="105"/>
      <c r="E54" s="105"/>
    </row>
    <row r="57" spans="3:7" x14ac:dyDescent="0.2">
      <c r="D57" s="110"/>
    </row>
    <row r="59" spans="3:7" ht="20.25" x14ac:dyDescent="0.3">
      <c r="D59" s="594"/>
      <c r="E59" s="594"/>
    </row>
  </sheetData>
  <mergeCells count="3">
    <mergeCell ref="D5:G5"/>
    <mergeCell ref="D7:G7"/>
    <mergeCell ref="G8:J8"/>
  </mergeCells>
  <hyperlinks>
    <hyperlink ref="E23" location="Securities!AS10" display="Securities"/>
    <hyperlink ref="E21" location="'Balance Sheet by Currency'!EC12" display="Balance Sheet by Currency"/>
    <hyperlink ref="E25" location="'Securities by Issuer'!AS10" display="Securities by Issuer"/>
    <hyperlink ref="E27" location="'Loan Operations'!CK12" display="Loan Operations"/>
    <hyperlink ref="E31" location="'Activity Sector (current)'!E10" display="Activity Sector (current)"/>
    <hyperlink ref="E33" location="'Portfolio by Company Size (Bac)'!AS10" display="Portfolio by Company Size (Bacen)"/>
    <hyperlink ref="E9" location="'Managerial Assets'!AS10" display="Managerial Assets"/>
    <hyperlink ref="E11" location="'Managerial Liabilities '!AS10" display="Managerial Liabilities "/>
    <hyperlink ref="E13" location="' Recurring Income Statement'!BD10" display="Recurring Income Statement"/>
    <hyperlink ref="E29" location="'Activity Sector (former)'!AO10" display="Activity Sector (former)"/>
    <hyperlink ref="G19" location="'Provisions by Account'!AS10" display="Provisions by Account"/>
    <hyperlink ref="G25" location="'Income Breakdown by Segment'!AS10" display="Income Breakdown by Segment"/>
    <hyperlink ref="G13" location="'Tax Credits'!AS10" display="Tax Credits"/>
    <hyperlink ref="G11" location="'PDD Movement'!AS10" display="PDD Movement (Book Value)"/>
    <hyperlink ref="E39" location="'Portfolio by Type (exp)'!AS10" display="Portfolio by Type (Expanded)"/>
    <hyperlink ref="E41" location="'Consumer Financing'!AS10" display="Consumer Financing"/>
    <hyperlink ref="E43" location="'Largest Borrowers'!CJ10" display="Largest Borrowers"/>
    <hyperlink ref="E45" location="'Allowance for Loan Losses - PDD'!CK11" display="Allowance for Loan Losses - PDD"/>
    <hyperlink ref="E35" location="'Portfolio by Company Size (exp)'!R10" display="Portfolio by Company Size (Expanded)"/>
    <hyperlink ref="G27" location="'Adjusted Net Interest Income'!AS10" display="Adjusted Net Interest Income"/>
    <hyperlink ref="G17" location="'Liability Contingencies'!AS10" display="Liability Contingencies"/>
    <hyperlink ref="G15" location="'Funding and Assets Managed'!AS10" display="Funding and Assets Managed"/>
    <hyperlink ref="G21" location="'Technical Provisions by Product'!AS10" display="Technical Provisions by Product"/>
    <hyperlink ref="G29" location="'Fee and Commission Income'!AS10" display="Fee and Commission Income"/>
    <hyperlink ref="G31" location="'Personnel Expenses'!AS10" display="Personnel Expenses"/>
    <hyperlink ref="G33" location="'Other Administrative Expenses'!AS10" display="Other Administrative Expenses"/>
    <hyperlink ref="G35" location="'Performance Ratios'!AS10" display="Performance Ratios (annualized)"/>
    <hyperlink ref="G37" location="'Efficiency Ratio (12 months)'!AS10" display="Efficiency Ratio (in the previous 12 months)"/>
    <hyperlink ref="G39" location="'Coverage Ratio (12 months)'!AS10" display="Coverage Ratio (in the previous 12 months)"/>
    <hyperlink ref="G41" location="'Capital Adequacy Ratio'!BT11" display="Capital adequacy Ratio (Basel)"/>
    <hyperlink ref="G43" location="'Loan Portfolio - Indicators'!AS10" display="Loan Portfolio - Indicators"/>
    <hyperlink ref="E15" location="'Accounting Assets'!J10" display="Consolidated Statement of Financial - Assets"/>
    <hyperlink ref="E19" location="'Statement Income '!L10" display="Consolidated Statement Income"/>
    <hyperlink ref="G9" location="'Expense of Provision'!F10" display="Expense of Provision for Dubious Liquid Management Claims"/>
    <hyperlink ref="G23" location="'Income From Insurance'!G10" display="Income from Insurance, Pension Plans and Capitalization Bonds"/>
    <hyperlink ref="E37" location="'Portfolio by Type (Bacen)'!AS10" display="Portfolio by Type (Bacen)"/>
    <hyperlink ref="E17" location="'Accounting Liabilities'!J10" display="Consolidated Statement of Financial - Liabilities"/>
  </hyperlinks>
  <pageMargins left="0.51181102362204722" right="0.51181102362204722" top="0.78740157480314965" bottom="0.78740157480314965" header="0.31496062992125984" footer="0.31496062992125984"/>
  <pageSetup paperSize="9" scale="86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4"/>
  <dimension ref="A1:HL82"/>
  <sheetViews>
    <sheetView showGridLines="0" zoomScaleNormal="100" zoomScaleSheetLayoutView="40" workbookViewId="0">
      <pane xSplit="1" ySplit="9" topLeftCell="AM10" activePane="bottomRight" state="frozen"/>
      <selection activeCell="E9" sqref="E9"/>
      <selection pane="topRight" activeCell="E9" sqref="E9"/>
      <selection pane="bottomLeft" activeCell="E9" sqref="E9"/>
      <selection pane="bottomRight" activeCell="AS6" sqref="AS6"/>
    </sheetView>
  </sheetViews>
  <sheetFormatPr defaultColWidth="12.5703125" defaultRowHeight="12" x14ac:dyDescent="0.2"/>
  <cols>
    <col min="1" max="1" width="77.140625" style="188" customWidth="1"/>
    <col min="2" max="2" width="10.7109375" style="188" customWidth="1"/>
    <col min="3" max="5" width="10.7109375" style="186" customWidth="1"/>
    <col min="6" max="6" width="10.7109375" style="188" customWidth="1"/>
    <col min="7" max="9" width="10.7109375" style="186" customWidth="1"/>
    <col min="10" max="45" width="10.7109375" style="188" customWidth="1"/>
    <col min="46" max="16384" width="12.5703125" style="144"/>
  </cols>
  <sheetData>
    <row r="1" spans="1:220" ht="15" customHeight="1" x14ac:dyDescent="0.2">
      <c r="A1" s="139"/>
      <c r="B1" s="140"/>
      <c r="C1" s="140"/>
      <c r="D1" s="140"/>
      <c r="E1" s="140"/>
      <c r="F1" s="141"/>
      <c r="G1" s="142"/>
      <c r="H1" s="140"/>
      <c r="I1" s="140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2"/>
      <c r="AJ1" s="142"/>
      <c r="AK1" s="142"/>
      <c r="AL1" s="142"/>
      <c r="AM1" s="142"/>
      <c r="AN1" s="142"/>
      <c r="AO1" s="142"/>
      <c r="AP1" s="142"/>
      <c r="AQ1" s="142"/>
      <c r="AR1" s="142"/>
      <c r="AS1" s="142"/>
      <c r="AT1" s="142"/>
      <c r="AU1" s="143"/>
      <c r="AV1" s="142"/>
      <c r="AW1" s="143"/>
      <c r="AX1" s="142"/>
      <c r="AY1" s="143"/>
      <c r="AZ1" s="142"/>
      <c r="BA1" s="143"/>
      <c r="BB1" s="142"/>
      <c r="BC1" s="143"/>
      <c r="BD1" s="142"/>
      <c r="BE1" s="143"/>
      <c r="BF1" s="142"/>
      <c r="BG1" s="143"/>
      <c r="BH1" s="142"/>
      <c r="BI1" s="143"/>
      <c r="BJ1" s="142"/>
      <c r="BK1" s="143"/>
      <c r="BL1" s="142"/>
      <c r="BM1" s="143"/>
      <c r="BN1" s="142"/>
      <c r="BO1" s="143"/>
      <c r="BP1" s="142"/>
      <c r="BQ1" s="143"/>
      <c r="BR1" s="142"/>
      <c r="BS1" s="143"/>
      <c r="BT1" s="142"/>
      <c r="BU1" s="143"/>
      <c r="BV1" s="142"/>
      <c r="BW1" s="143"/>
      <c r="BX1" s="142"/>
      <c r="BY1" s="143"/>
      <c r="BZ1" s="142"/>
      <c r="CA1" s="143"/>
      <c r="CB1" s="141"/>
      <c r="CC1" s="141"/>
      <c r="CD1" s="142"/>
      <c r="CE1" s="143"/>
      <c r="CF1" s="140"/>
      <c r="CG1" s="140"/>
      <c r="CH1" s="140"/>
      <c r="CI1" s="140"/>
      <c r="CJ1" s="140"/>
      <c r="CK1" s="143"/>
      <c r="CL1" s="140"/>
      <c r="CM1" s="143"/>
      <c r="CN1" s="140"/>
      <c r="CO1" s="140"/>
      <c r="CP1" s="140"/>
      <c r="CQ1" s="139"/>
      <c r="CR1" s="139"/>
      <c r="CS1" s="142"/>
      <c r="CT1" s="143"/>
      <c r="CU1" s="142"/>
      <c r="CV1" s="143"/>
      <c r="CW1" s="142"/>
      <c r="CX1" s="143"/>
      <c r="CY1" s="142"/>
      <c r="CZ1" s="143"/>
      <c r="DA1" s="142"/>
      <c r="DB1" s="143"/>
      <c r="DC1" s="142"/>
      <c r="DD1" s="143"/>
      <c r="DE1" s="142"/>
      <c r="DF1" s="143"/>
      <c r="DG1" s="142"/>
      <c r="DH1" s="143"/>
      <c r="DI1" s="142"/>
      <c r="DJ1" s="143"/>
      <c r="DK1" s="142"/>
      <c r="DL1" s="143"/>
      <c r="DM1" s="142"/>
      <c r="DN1" s="143"/>
      <c r="DO1" s="142"/>
      <c r="DP1" s="143"/>
      <c r="DQ1" s="142"/>
      <c r="DR1" s="143"/>
      <c r="DS1" s="142"/>
      <c r="DT1" s="143"/>
      <c r="DU1" s="142"/>
      <c r="DV1" s="143"/>
      <c r="DW1" s="142"/>
      <c r="DX1" s="143"/>
      <c r="DY1" s="142"/>
      <c r="DZ1" s="143"/>
      <c r="EA1" s="142"/>
      <c r="EB1" s="143"/>
      <c r="EC1" s="142"/>
      <c r="ED1" s="143"/>
      <c r="EE1" s="142"/>
      <c r="EF1" s="143"/>
      <c r="EG1" s="141"/>
      <c r="EH1" s="141"/>
      <c r="EI1" s="142"/>
      <c r="EJ1" s="143"/>
      <c r="EK1" s="140"/>
      <c r="EL1" s="140"/>
      <c r="EM1" s="140"/>
      <c r="EN1" s="140"/>
      <c r="EO1" s="140"/>
      <c r="EP1" s="143"/>
      <c r="EQ1" s="140"/>
      <c r="ER1" s="143"/>
      <c r="ES1" s="140"/>
      <c r="ET1" s="140"/>
      <c r="EU1" s="140"/>
      <c r="EV1" s="139"/>
      <c r="EW1" s="139"/>
      <c r="EX1" s="142"/>
      <c r="EY1" s="143"/>
      <c r="EZ1" s="142"/>
      <c r="FA1" s="143"/>
      <c r="FB1" s="142"/>
      <c r="FC1" s="143"/>
      <c r="FD1" s="142"/>
      <c r="FE1" s="143"/>
      <c r="FF1" s="142"/>
      <c r="FG1" s="143"/>
      <c r="FH1" s="142"/>
      <c r="FI1" s="143"/>
      <c r="FJ1" s="142"/>
      <c r="FK1" s="143"/>
      <c r="FL1" s="142"/>
      <c r="FM1" s="143"/>
      <c r="FN1" s="142"/>
      <c r="FO1" s="143"/>
      <c r="FP1" s="142"/>
      <c r="FQ1" s="143"/>
      <c r="FR1" s="142"/>
      <c r="FS1" s="143"/>
      <c r="FT1" s="142"/>
      <c r="FU1" s="143"/>
      <c r="FV1" s="142"/>
      <c r="FW1" s="143"/>
      <c r="FX1" s="142"/>
      <c r="FY1" s="143"/>
      <c r="FZ1" s="142"/>
      <c r="GA1" s="143"/>
      <c r="GB1" s="142"/>
      <c r="GC1" s="143"/>
      <c r="GD1" s="142"/>
      <c r="GE1" s="143"/>
      <c r="GF1" s="142"/>
      <c r="GG1" s="143"/>
      <c r="GH1" s="142"/>
      <c r="GI1" s="143"/>
      <c r="GJ1" s="142"/>
      <c r="GK1" s="143"/>
      <c r="GL1" s="141"/>
      <c r="GM1" s="141"/>
      <c r="GN1" s="142"/>
      <c r="GO1" s="143"/>
      <c r="GP1" s="140"/>
      <c r="GQ1" s="140"/>
      <c r="GR1" s="140"/>
      <c r="GS1" s="140"/>
      <c r="GT1" s="140"/>
      <c r="GU1" s="143"/>
      <c r="GV1" s="140"/>
      <c r="GW1" s="143"/>
      <c r="GX1" s="140"/>
      <c r="GY1" s="140"/>
      <c r="GZ1" s="140"/>
      <c r="HA1" s="139"/>
      <c r="HB1" s="139"/>
      <c r="HC1" s="142"/>
      <c r="HD1" s="143"/>
      <c r="HE1" s="142"/>
      <c r="HF1" s="143"/>
      <c r="HG1" s="142"/>
      <c r="HH1" s="143"/>
      <c r="HI1" s="142"/>
      <c r="HJ1" s="143"/>
      <c r="HK1" s="142"/>
      <c r="HL1" s="143"/>
    </row>
    <row r="2" spans="1:220" ht="15" customHeight="1" x14ac:dyDescent="0.2">
      <c r="A2" s="139"/>
      <c r="B2" s="140"/>
      <c r="C2" s="140"/>
      <c r="D2" s="140"/>
      <c r="E2" s="140"/>
      <c r="F2" s="141"/>
      <c r="G2" s="142"/>
      <c r="H2" s="140"/>
      <c r="I2" s="140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2"/>
      <c r="AT2" s="142"/>
      <c r="AU2" s="143"/>
      <c r="AV2" s="142"/>
      <c r="AW2" s="143"/>
      <c r="AX2" s="142"/>
      <c r="AY2" s="143"/>
      <c r="AZ2" s="142"/>
      <c r="BA2" s="143"/>
      <c r="BB2" s="142"/>
      <c r="BC2" s="143"/>
      <c r="BD2" s="142"/>
      <c r="BE2" s="143"/>
      <c r="BF2" s="142"/>
      <c r="BG2" s="143"/>
      <c r="BH2" s="142"/>
      <c r="BI2" s="143"/>
      <c r="BJ2" s="142"/>
      <c r="BK2" s="143"/>
      <c r="BL2" s="142"/>
      <c r="BM2" s="143"/>
      <c r="BN2" s="142"/>
      <c r="BO2" s="143"/>
      <c r="BP2" s="142"/>
      <c r="BQ2" s="143"/>
      <c r="BR2" s="142"/>
      <c r="BS2" s="143"/>
      <c r="BT2" s="142"/>
      <c r="BU2" s="143"/>
      <c r="BV2" s="142"/>
      <c r="BW2" s="143"/>
      <c r="BX2" s="142"/>
      <c r="BY2" s="143"/>
      <c r="BZ2" s="142"/>
      <c r="CA2" s="143"/>
      <c r="CB2" s="141"/>
      <c r="CC2" s="141"/>
      <c r="CD2" s="142"/>
      <c r="CE2" s="143"/>
      <c r="CF2" s="140"/>
      <c r="CG2" s="140"/>
      <c r="CH2" s="140"/>
      <c r="CI2" s="140"/>
      <c r="CJ2" s="140"/>
      <c r="CK2" s="143"/>
      <c r="CL2" s="140"/>
      <c r="CM2" s="143"/>
      <c r="CN2" s="140"/>
      <c r="CO2" s="140"/>
      <c r="CP2" s="140"/>
      <c r="CQ2" s="139"/>
      <c r="CR2" s="139"/>
      <c r="CS2" s="142"/>
      <c r="CT2" s="143"/>
      <c r="CU2" s="142"/>
      <c r="CV2" s="143"/>
      <c r="CW2" s="142"/>
      <c r="CX2" s="143"/>
      <c r="CY2" s="142"/>
      <c r="CZ2" s="143"/>
      <c r="DA2" s="142"/>
      <c r="DB2" s="143"/>
      <c r="DC2" s="142"/>
      <c r="DD2" s="143"/>
      <c r="DE2" s="142"/>
      <c r="DF2" s="143"/>
      <c r="DG2" s="142"/>
      <c r="DH2" s="143"/>
      <c r="DI2" s="142"/>
      <c r="DJ2" s="143"/>
      <c r="DK2" s="142"/>
      <c r="DL2" s="143"/>
      <c r="DM2" s="142"/>
      <c r="DN2" s="143"/>
      <c r="DO2" s="142"/>
      <c r="DP2" s="143"/>
      <c r="DQ2" s="142"/>
      <c r="DR2" s="143"/>
      <c r="DS2" s="142"/>
      <c r="DT2" s="143"/>
      <c r="DU2" s="142"/>
      <c r="DV2" s="143"/>
      <c r="DW2" s="142"/>
      <c r="DX2" s="143"/>
      <c r="DY2" s="142"/>
      <c r="DZ2" s="143"/>
      <c r="EA2" s="142"/>
      <c r="EB2" s="143"/>
      <c r="EC2" s="142"/>
      <c r="ED2" s="143"/>
      <c r="EE2" s="142"/>
      <c r="EF2" s="143"/>
      <c r="EG2" s="141"/>
      <c r="EH2" s="141"/>
      <c r="EI2" s="142"/>
      <c r="EJ2" s="143"/>
      <c r="EK2" s="140"/>
      <c r="EL2" s="140"/>
      <c r="EM2" s="140"/>
      <c r="EN2" s="140"/>
      <c r="EO2" s="140"/>
      <c r="EP2" s="143"/>
      <c r="EQ2" s="140"/>
      <c r="ER2" s="143"/>
      <c r="ES2" s="140"/>
      <c r="ET2" s="140"/>
      <c r="EU2" s="140"/>
      <c r="EV2" s="139"/>
      <c r="EW2" s="139"/>
      <c r="EX2" s="142"/>
      <c r="EY2" s="143"/>
      <c r="EZ2" s="142"/>
      <c r="FA2" s="143"/>
      <c r="FB2" s="142"/>
      <c r="FC2" s="143"/>
      <c r="FD2" s="142"/>
      <c r="FE2" s="143"/>
      <c r="FF2" s="142"/>
      <c r="FG2" s="143"/>
      <c r="FH2" s="142"/>
      <c r="FI2" s="143"/>
      <c r="FJ2" s="142"/>
      <c r="FK2" s="143"/>
      <c r="FL2" s="142"/>
      <c r="FM2" s="143"/>
      <c r="FN2" s="142"/>
      <c r="FO2" s="143"/>
      <c r="FP2" s="142"/>
      <c r="FQ2" s="143"/>
      <c r="FR2" s="142"/>
      <c r="FS2" s="143"/>
      <c r="FT2" s="142"/>
      <c r="FU2" s="143"/>
      <c r="FV2" s="142"/>
      <c r="FW2" s="143"/>
      <c r="FX2" s="142"/>
      <c r="FY2" s="143"/>
      <c r="FZ2" s="142"/>
      <c r="GA2" s="143"/>
      <c r="GB2" s="142"/>
      <c r="GC2" s="143"/>
      <c r="GD2" s="142"/>
      <c r="GE2" s="143"/>
      <c r="GF2" s="142"/>
      <c r="GG2" s="143"/>
      <c r="GH2" s="142"/>
      <c r="GI2" s="143"/>
      <c r="GJ2" s="142"/>
      <c r="GK2" s="143"/>
      <c r="GL2" s="141"/>
      <c r="GM2" s="141"/>
      <c r="GN2" s="142"/>
      <c r="GO2" s="143"/>
      <c r="GP2" s="140"/>
      <c r="GQ2" s="140"/>
      <c r="GR2" s="140"/>
      <c r="GS2" s="140"/>
      <c r="GT2" s="140"/>
      <c r="GU2" s="143"/>
      <c r="GV2" s="140"/>
      <c r="GW2" s="143"/>
      <c r="GX2" s="140"/>
      <c r="GY2" s="140"/>
      <c r="GZ2" s="140"/>
      <c r="HA2" s="139"/>
      <c r="HB2" s="139"/>
      <c r="HC2" s="142"/>
      <c r="HD2" s="143"/>
      <c r="HE2" s="142"/>
      <c r="HF2" s="143"/>
      <c r="HG2" s="142"/>
      <c r="HH2" s="143"/>
      <c r="HI2" s="142"/>
      <c r="HJ2" s="143"/>
      <c r="HK2" s="142"/>
      <c r="HL2" s="143"/>
    </row>
    <row r="3" spans="1:220" ht="15" customHeight="1" x14ac:dyDescent="0.2">
      <c r="A3" s="139"/>
      <c r="B3" s="140"/>
      <c r="C3" s="140"/>
      <c r="D3" s="140"/>
      <c r="E3" s="140"/>
      <c r="F3" s="141"/>
      <c r="G3" s="142"/>
      <c r="H3" s="140"/>
      <c r="I3" s="140"/>
      <c r="J3" s="142"/>
      <c r="K3" s="142"/>
      <c r="L3" s="142"/>
      <c r="M3" s="142"/>
      <c r="N3" s="142"/>
      <c r="O3" s="142"/>
      <c r="P3" s="142"/>
      <c r="Q3" s="142"/>
      <c r="R3" s="142"/>
      <c r="S3" s="142"/>
      <c r="T3" s="142"/>
      <c r="U3" s="142"/>
      <c r="V3" s="142"/>
      <c r="W3" s="142"/>
      <c r="X3" s="142"/>
      <c r="Y3" s="142"/>
      <c r="Z3" s="142"/>
      <c r="AA3" s="142"/>
      <c r="AB3" s="142"/>
      <c r="AC3" s="142"/>
      <c r="AD3" s="142"/>
      <c r="AE3" s="142"/>
      <c r="AF3" s="142"/>
      <c r="AG3" s="142"/>
      <c r="AH3" s="142"/>
      <c r="AI3" s="142"/>
      <c r="AJ3" s="142"/>
      <c r="AK3" s="142"/>
      <c r="AL3" s="142"/>
      <c r="AM3" s="142"/>
      <c r="AN3" s="142"/>
      <c r="AO3" s="142"/>
      <c r="AP3" s="142"/>
      <c r="AQ3" s="142"/>
      <c r="AR3" s="142"/>
      <c r="AS3" s="142"/>
      <c r="AT3" s="142"/>
      <c r="AU3" s="143"/>
      <c r="AV3" s="142"/>
      <c r="AW3" s="143"/>
      <c r="AX3" s="142"/>
      <c r="AY3" s="143"/>
      <c r="AZ3" s="142"/>
      <c r="BA3" s="143"/>
      <c r="BB3" s="142"/>
      <c r="BC3" s="143"/>
      <c r="BD3" s="142"/>
      <c r="BE3" s="143"/>
      <c r="BF3" s="142"/>
      <c r="BG3" s="143"/>
      <c r="BH3" s="142"/>
      <c r="BI3" s="143"/>
      <c r="BJ3" s="142"/>
      <c r="BK3" s="143"/>
      <c r="BL3" s="142"/>
      <c r="BM3" s="143"/>
      <c r="BN3" s="142"/>
      <c r="BO3" s="143"/>
      <c r="BP3" s="142"/>
      <c r="BQ3" s="143"/>
      <c r="BR3" s="142"/>
      <c r="BS3" s="143"/>
      <c r="BT3" s="142"/>
      <c r="BU3" s="143"/>
      <c r="BV3" s="142"/>
      <c r="BW3" s="143"/>
      <c r="BX3" s="142"/>
      <c r="BY3" s="143"/>
      <c r="BZ3" s="142"/>
      <c r="CA3" s="143"/>
      <c r="CB3" s="141"/>
      <c r="CC3" s="141"/>
      <c r="CD3" s="142"/>
      <c r="CE3" s="143"/>
      <c r="CF3" s="140"/>
      <c r="CG3" s="140"/>
      <c r="CH3" s="140"/>
      <c r="CI3" s="140"/>
      <c r="CJ3" s="140"/>
      <c r="CK3" s="143"/>
      <c r="CL3" s="140"/>
      <c r="CM3" s="143"/>
      <c r="CN3" s="140"/>
      <c r="CO3" s="140"/>
      <c r="CP3" s="140"/>
      <c r="CQ3" s="139"/>
      <c r="CR3" s="139"/>
      <c r="CS3" s="142"/>
      <c r="CT3" s="143"/>
      <c r="CU3" s="142"/>
      <c r="CV3" s="143"/>
      <c r="CW3" s="142"/>
      <c r="CX3" s="143"/>
      <c r="CY3" s="142"/>
      <c r="CZ3" s="143"/>
      <c r="DA3" s="142"/>
      <c r="DB3" s="143"/>
      <c r="DC3" s="142"/>
      <c r="DD3" s="143"/>
      <c r="DE3" s="142"/>
      <c r="DF3" s="143"/>
      <c r="DG3" s="142"/>
      <c r="DH3" s="143"/>
      <c r="DI3" s="142"/>
      <c r="DJ3" s="143"/>
      <c r="DK3" s="142"/>
      <c r="DL3" s="143"/>
      <c r="DM3" s="142"/>
      <c r="DN3" s="143"/>
      <c r="DO3" s="142"/>
      <c r="DP3" s="143"/>
      <c r="DQ3" s="142"/>
      <c r="DR3" s="143"/>
      <c r="DS3" s="142"/>
      <c r="DT3" s="143"/>
      <c r="DU3" s="142"/>
      <c r="DV3" s="143"/>
      <c r="DW3" s="142"/>
      <c r="DX3" s="143"/>
      <c r="DY3" s="142"/>
      <c r="DZ3" s="143"/>
      <c r="EA3" s="142"/>
      <c r="EB3" s="143"/>
      <c r="EC3" s="142"/>
      <c r="ED3" s="143"/>
      <c r="EE3" s="142"/>
      <c r="EF3" s="143"/>
      <c r="EG3" s="141"/>
      <c r="EH3" s="141"/>
      <c r="EI3" s="142"/>
      <c r="EJ3" s="143"/>
      <c r="EK3" s="140"/>
      <c r="EL3" s="140"/>
      <c r="EM3" s="140"/>
      <c r="EN3" s="140"/>
      <c r="EO3" s="140"/>
      <c r="EP3" s="143"/>
      <c r="EQ3" s="140"/>
      <c r="ER3" s="143"/>
      <c r="ES3" s="140"/>
      <c r="ET3" s="140"/>
      <c r="EU3" s="140"/>
      <c r="EV3" s="139"/>
      <c r="EW3" s="139"/>
      <c r="EX3" s="142"/>
      <c r="EY3" s="143"/>
      <c r="EZ3" s="142"/>
      <c r="FA3" s="143"/>
      <c r="FB3" s="142"/>
      <c r="FC3" s="143"/>
      <c r="FD3" s="142"/>
      <c r="FE3" s="143"/>
      <c r="FF3" s="142"/>
      <c r="FG3" s="143"/>
      <c r="FH3" s="142"/>
      <c r="FI3" s="143"/>
      <c r="FJ3" s="142"/>
      <c r="FK3" s="143"/>
      <c r="FL3" s="142"/>
      <c r="FM3" s="143"/>
      <c r="FN3" s="142"/>
      <c r="FO3" s="143"/>
      <c r="FP3" s="142"/>
      <c r="FQ3" s="143"/>
      <c r="FR3" s="142"/>
      <c r="FS3" s="143"/>
      <c r="FT3" s="142"/>
      <c r="FU3" s="143"/>
      <c r="FV3" s="142"/>
      <c r="FW3" s="143"/>
      <c r="FX3" s="142"/>
      <c r="FY3" s="143"/>
      <c r="FZ3" s="142"/>
      <c r="GA3" s="143"/>
      <c r="GB3" s="142"/>
      <c r="GC3" s="143"/>
      <c r="GD3" s="142"/>
      <c r="GE3" s="143"/>
      <c r="GF3" s="142"/>
      <c r="GG3" s="143"/>
      <c r="GH3" s="142"/>
      <c r="GI3" s="143"/>
      <c r="GJ3" s="142"/>
      <c r="GK3" s="143"/>
      <c r="GL3" s="141"/>
      <c r="GM3" s="141"/>
      <c r="GN3" s="142"/>
      <c r="GO3" s="143"/>
      <c r="GP3" s="140"/>
      <c r="GQ3" s="140"/>
      <c r="GR3" s="140"/>
      <c r="GS3" s="140"/>
      <c r="GT3" s="140"/>
      <c r="GU3" s="143"/>
      <c r="GV3" s="140"/>
      <c r="GW3" s="143"/>
      <c r="GX3" s="140"/>
      <c r="GY3" s="140"/>
      <c r="GZ3" s="140"/>
      <c r="HA3" s="139"/>
      <c r="HB3" s="139"/>
      <c r="HC3" s="142"/>
      <c r="HD3" s="143"/>
      <c r="HE3" s="142"/>
      <c r="HF3" s="143"/>
      <c r="HG3" s="142"/>
      <c r="HH3" s="143"/>
      <c r="HI3" s="142"/>
      <c r="HJ3" s="143"/>
      <c r="HK3" s="142"/>
      <c r="HL3" s="143"/>
    </row>
    <row r="4" spans="1:220" ht="15" customHeight="1" x14ac:dyDescent="0.2">
      <c r="A4" s="145"/>
      <c r="B4" s="146"/>
      <c r="C4" s="146"/>
      <c r="D4" s="146"/>
      <c r="E4" s="146"/>
      <c r="F4" s="147"/>
      <c r="G4" s="148"/>
      <c r="H4" s="146"/>
      <c r="I4" s="146"/>
      <c r="J4" s="148"/>
      <c r="K4" s="148"/>
      <c r="L4" s="148"/>
      <c r="M4" s="148"/>
      <c r="N4" s="148"/>
      <c r="O4" s="148"/>
      <c r="P4" s="148"/>
      <c r="Q4" s="148"/>
      <c r="R4" s="148"/>
      <c r="S4" s="148"/>
      <c r="T4" s="148"/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48"/>
      <c r="AH4" s="149"/>
      <c r="AI4" s="149"/>
      <c r="AJ4" s="149"/>
      <c r="AK4" s="150"/>
      <c r="AL4" s="150"/>
      <c r="AM4" s="150"/>
      <c r="AN4" s="150"/>
      <c r="AO4" s="150"/>
      <c r="AP4" s="150"/>
      <c r="AQ4" s="150"/>
      <c r="AR4" s="150"/>
      <c r="AS4" s="150"/>
    </row>
    <row r="5" spans="1:220" s="178" customFormat="1" ht="15" customHeight="1" thickBot="1" x14ac:dyDescent="0.25">
      <c r="A5" s="707" t="s">
        <v>398</v>
      </c>
      <c r="B5" s="480"/>
      <c r="C5" s="480"/>
      <c r="D5" s="480"/>
      <c r="E5" s="480"/>
      <c r="F5" s="480"/>
      <c r="G5" s="480"/>
      <c r="H5" s="480"/>
      <c r="I5" s="480"/>
      <c r="J5" s="480"/>
      <c r="K5" s="480"/>
      <c r="L5" s="480"/>
      <c r="M5" s="480"/>
      <c r="N5" s="480"/>
      <c r="O5" s="480"/>
      <c r="P5" s="480"/>
      <c r="Q5" s="480"/>
      <c r="R5" s="480"/>
      <c r="S5" s="480"/>
      <c r="T5" s="480"/>
      <c r="U5" s="480"/>
      <c r="V5" s="480"/>
      <c r="W5" s="480"/>
      <c r="X5" s="480"/>
      <c r="Y5" s="480"/>
      <c r="Z5" s="480"/>
      <c r="AA5" s="480"/>
      <c r="AB5" s="480"/>
      <c r="AC5" s="480"/>
      <c r="AD5" s="480"/>
      <c r="AE5" s="480"/>
      <c r="AF5" s="480"/>
      <c r="AG5" s="480"/>
      <c r="AH5" s="480"/>
      <c r="AI5" s="480"/>
      <c r="AJ5" s="480"/>
      <c r="AK5" s="480"/>
      <c r="AL5" s="151"/>
      <c r="AM5" s="151"/>
      <c r="AN5" s="151"/>
      <c r="AO5" s="151"/>
      <c r="AP5" s="151"/>
      <c r="AQ5" s="151"/>
      <c r="AR5" s="151"/>
      <c r="AS5" s="151"/>
    </row>
    <row r="6" spans="1:220" s="152" customFormat="1" ht="15" customHeight="1" thickTop="1" x14ac:dyDescent="0.2">
      <c r="B6" s="722"/>
      <c r="C6" s="722"/>
      <c r="D6" s="722"/>
      <c r="E6" s="722"/>
      <c r="F6" s="722"/>
      <c r="G6" s="722"/>
      <c r="H6" s="722"/>
      <c r="I6" s="722"/>
      <c r="J6" s="722"/>
      <c r="K6" s="722"/>
      <c r="L6" s="722"/>
      <c r="M6" s="722"/>
      <c r="N6" s="722"/>
      <c r="O6" s="722"/>
      <c r="P6" s="722"/>
      <c r="Q6" s="722"/>
      <c r="R6" s="722"/>
      <c r="S6" s="722"/>
      <c r="T6" s="722"/>
      <c r="U6" s="722"/>
      <c r="V6" s="722"/>
      <c r="W6" s="722"/>
      <c r="X6" s="722"/>
      <c r="Y6" s="722"/>
      <c r="Z6" s="722"/>
      <c r="AA6" s="722"/>
      <c r="AB6" s="722"/>
      <c r="AC6" s="722"/>
      <c r="AD6" s="722"/>
      <c r="AE6" s="722"/>
      <c r="AF6" s="722"/>
      <c r="AG6" s="722"/>
      <c r="AH6" s="722"/>
      <c r="AI6" s="722"/>
      <c r="AJ6" s="722"/>
      <c r="AK6" s="722"/>
      <c r="AL6" s="154"/>
      <c r="AM6" s="154"/>
      <c r="AN6" s="154"/>
      <c r="AO6" s="379"/>
      <c r="AP6" s="400"/>
      <c r="AQ6" s="400"/>
      <c r="AR6" s="400"/>
      <c r="AS6" s="400" t="s">
        <v>662</v>
      </c>
    </row>
    <row r="7" spans="1:220" s="153" customFormat="1" ht="15" customHeight="1" x14ac:dyDescent="0.2">
      <c r="A7" s="155"/>
      <c r="B7" s="156" t="s">
        <v>35</v>
      </c>
      <c r="C7" s="156" t="s">
        <v>36</v>
      </c>
      <c r="D7" s="156" t="s">
        <v>321</v>
      </c>
      <c r="E7" s="156" t="s">
        <v>331</v>
      </c>
      <c r="F7" s="156" t="s">
        <v>37</v>
      </c>
      <c r="G7" s="156" t="s">
        <v>38</v>
      </c>
      <c r="H7" s="156" t="s">
        <v>322</v>
      </c>
      <c r="I7" s="156" t="s">
        <v>332</v>
      </c>
      <c r="J7" s="156" t="s">
        <v>39</v>
      </c>
      <c r="K7" s="156" t="s">
        <v>40</v>
      </c>
      <c r="L7" s="156" t="s">
        <v>323</v>
      </c>
      <c r="M7" s="156" t="s">
        <v>333</v>
      </c>
      <c r="N7" s="156" t="s">
        <v>41</v>
      </c>
      <c r="O7" s="156" t="s">
        <v>42</v>
      </c>
      <c r="P7" s="156" t="s">
        <v>324</v>
      </c>
      <c r="Q7" s="156" t="s">
        <v>334</v>
      </c>
      <c r="R7" s="156" t="s">
        <v>43</v>
      </c>
      <c r="S7" s="156" t="s">
        <v>44</v>
      </c>
      <c r="T7" s="156" t="s">
        <v>325</v>
      </c>
      <c r="U7" s="156" t="s">
        <v>335</v>
      </c>
      <c r="V7" s="156" t="s">
        <v>45</v>
      </c>
      <c r="W7" s="156" t="s">
        <v>46</v>
      </c>
      <c r="X7" s="156" t="s">
        <v>326</v>
      </c>
      <c r="Y7" s="156" t="s">
        <v>336</v>
      </c>
      <c r="Z7" s="156" t="s">
        <v>47</v>
      </c>
      <c r="AA7" s="156" t="s">
        <v>48</v>
      </c>
      <c r="AB7" s="156" t="s">
        <v>327</v>
      </c>
      <c r="AC7" s="156" t="s">
        <v>337</v>
      </c>
      <c r="AD7" s="156" t="s">
        <v>49</v>
      </c>
      <c r="AE7" s="156" t="s">
        <v>50</v>
      </c>
      <c r="AF7" s="156" t="s">
        <v>328</v>
      </c>
      <c r="AG7" s="156" t="s">
        <v>338</v>
      </c>
      <c r="AH7" s="156" t="s">
        <v>51</v>
      </c>
      <c r="AI7" s="156" t="s">
        <v>52</v>
      </c>
      <c r="AJ7" s="156" t="s">
        <v>329</v>
      </c>
      <c r="AK7" s="156" t="s">
        <v>339</v>
      </c>
      <c r="AL7" s="156" t="s">
        <v>53</v>
      </c>
      <c r="AM7" s="156" t="s">
        <v>54</v>
      </c>
      <c r="AN7" s="156" t="s">
        <v>330</v>
      </c>
      <c r="AO7" s="381" t="s">
        <v>340</v>
      </c>
      <c r="AP7" s="398" t="s">
        <v>71</v>
      </c>
      <c r="AQ7" s="591" t="s">
        <v>374</v>
      </c>
      <c r="AR7" s="664" t="s">
        <v>376</v>
      </c>
      <c r="AS7" s="664" t="s">
        <v>399</v>
      </c>
    </row>
    <row r="8" spans="1:220" ht="15" customHeight="1" x14ac:dyDescent="0.2">
      <c r="A8" s="157" t="s">
        <v>207</v>
      </c>
      <c r="B8" s="158"/>
      <c r="C8" s="158"/>
      <c r="D8" s="158"/>
      <c r="E8" s="158"/>
      <c r="F8" s="158"/>
      <c r="G8" s="158"/>
      <c r="H8" s="158"/>
      <c r="I8" s="158"/>
      <c r="J8" s="158"/>
      <c r="K8" s="158"/>
      <c r="L8" s="158"/>
      <c r="M8" s="158"/>
      <c r="N8" s="158"/>
      <c r="O8" s="158"/>
      <c r="P8" s="158"/>
      <c r="Q8" s="158"/>
      <c r="R8" s="158"/>
      <c r="S8" s="158"/>
      <c r="T8" s="158"/>
      <c r="U8" s="158"/>
      <c r="V8" s="158"/>
      <c r="W8" s="158"/>
      <c r="X8" s="158"/>
      <c r="Y8" s="158"/>
      <c r="Z8" s="158"/>
      <c r="AA8" s="158"/>
      <c r="AB8" s="158"/>
      <c r="AC8" s="158"/>
      <c r="AD8" s="158"/>
      <c r="AE8" s="158"/>
      <c r="AF8" s="158"/>
      <c r="AG8" s="158"/>
      <c r="AH8" s="158"/>
      <c r="AI8" s="158"/>
      <c r="AJ8" s="158"/>
      <c r="AK8" s="158"/>
      <c r="AL8" s="158"/>
      <c r="AM8" s="158"/>
      <c r="AN8" s="158"/>
      <c r="AO8" s="158"/>
      <c r="AP8" s="158"/>
      <c r="AQ8" s="158"/>
      <c r="AR8" s="158"/>
      <c r="AS8" s="158"/>
    </row>
    <row r="9" spans="1:220" ht="5.0999999999999996" customHeight="1" x14ac:dyDescent="0.2">
      <c r="A9" s="159"/>
      <c r="B9" s="159"/>
      <c r="C9" s="159"/>
      <c r="D9" s="159"/>
      <c r="E9" s="159"/>
      <c r="F9" s="159"/>
      <c r="G9" s="159"/>
      <c r="H9" s="159"/>
      <c r="I9" s="159"/>
      <c r="J9" s="159"/>
      <c r="K9" s="159"/>
      <c r="L9" s="159"/>
      <c r="M9" s="159"/>
      <c r="N9" s="159"/>
      <c r="O9" s="159"/>
      <c r="P9" s="159"/>
      <c r="Q9" s="159"/>
      <c r="R9" s="159"/>
      <c r="S9" s="159"/>
      <c r="T9" s="159"/>
      <c r="U9" s="159"/>
      <c r="V9" s="159"/>
      <c r="W9" s="159"/>
      <c r="X9" s="159"/>
      <c r="Y9" s="159"/>
      <c r="Z9" s="159"/>
      <c r="AA9" s="159"/>
      <c r="AB9" s="159"/>
      <c r="AC9" s="159"/>
      <c r="AD9" s="159"/>
      <c r="AE9" s="159"/>
      <c r="AF9" s="159"/>
      <c r="AG9" s="159"/>
      <c r="AH9" s="159"/>
      <c r="AI9" s="159"/>
      <c r="AJ9" s="159"/>
      <c r="AK9" s="159"/>
      <c r="AL9" s="159"/>
      <c r="AM9" s="159"/>
      <c r="AN9" s="159"/>
      <c r="AO9" s="159"/>
      <c r="AP9" s="159"/>
      <c r="AQ9" s="159"/>
      <c r="AR9" s="159"/>
      <c r="AS9" s="159"/>
    </row>
    <row r="10" spans="1:220" s="164" customFormat="1" x14ac:dyDescent="0.2">
      <c r="A10" s="173" t="s">
        <v>208</v>
      </c>
      <c r="B10" s="161">
        <f t="shared" ref="B10:AN10" si="0">B11+B12+B16+B24+B32+B34+B40+B46+B55</f>
        <v>278387</v>
      </c>
      <c r="C10" s="161">
        <f t="shared" si="0"/>
        <v>287070</v>
      </c>
      <c r="D10" s="161">
        <f t="shared" si="0"/>
        <v>314109</v>
      </c>
      <c r="E10" s="161">
        <f t="shared" si="0"/>
        <v>336221</v>
      </c>
      <c r="F10" s="161">
        <f t="shared" si="0"/>
        <v>350172</v>
      </c>
      <c r="G10" s="161">
        <f t="shared" si="0"/>
        <v>397746</v>
      </c>
      <c r="H10" s="161">
        <f t="shared" si="0"/>
        <v>416162</v>
      </c>
      <c r="I10" s="161">
        <f t="shared" si="0"/>
        <v>446802</v>
      </c>
      <c r="J10" s="161">
        <f t="shared" si="0"/>
        <v>474124</v>
      </c>
      <c r="K10" s="161">
        <f t="shared" si="0"/>
        <v>474303</v>
      </c>
      <c r="L10" s="161">
        <f t="shared" si="0"/>
        <v>477458</v>
      </c>
      <c r="M10" s="161">
        <f t="shared" si="0"/>
        <v>496029</v>
      </c>
      <c r="N10" s="161">
        <f t="shared" si="0"/>
        <v>522709</v>
      </c>
      <c r="O10" s="161">
        <f t="shared" si="0"/>
        <v>547868</v>
      </c>
      <c r="P10" s="161">
        <f t="shared" si="0"/>
        <v>601180</v>
      </c>
      <c r="Q10" s="161">
        <f t="shared" si="0"/>
        <v>625783</v>
      </c>
      <c r="R10" s="161">
        <f t="shared" si="0"/>
        <v>663599</v>
      </c>
      <c r="S10" s="161">
        <f t="shared" si="0"/>
        <v>677571</v>
      </c>
      <c r="T10" s="161">
        <f t="shared" si="0"/>
        <v>710238</v>
      </c>
      <c r="U10" s="161">
        <f t="shared" si="0"/>
        <v>746090</v>
      </c>
      <c r="V10" s="161">
        <f t="shared" si="0"/>
        <v>773896</v>
      </c>
      <c r="W10" s="161">
        <f t="shared" si="0"/>
        <v>815063</v>
      </c>
      <c r="X10" s="161">
        <f t="shared" si="0"/>
        <v>840295</v>
      </c>
      <c r="Y10" s="161">
        <f t="shared" si="0"/>
        <v>864279</v>
      </c>
      <c r="Z10" s="161">
        <f t="shared" si="0"/>
        <v>879192</v>
      </c>
      <c r="AA10" s="161">
        <f t="shared" si="0"/>
        <v>881121</v>
      </c>
      <c r="AB10" s="161">
        <f t="shared" si="0"/>
        <v>892363</v>
      </c>
      <c r="AC10" s="161">
        <f t="shared" si="0"/>
        <v>892495</v>
      </c>
      <c r="AD10" s="161">
        <f t="shared" si="0"/>
        <v>906760</v>
      </c>
      <c r="AE10" s="161">
        <f t="shared" si="0"/>
        <v>915986</v>
      </c>
      <c r="AF10" s="161">
        <f t="shared" si="0"/>
        <v>972315</v>
      </c>
      <c r="AG10" s="161">
        <f t="shared" si="0"/>
        <v>1016970</v>
      </c>
      <c r="AH10" s="161">
        <f t="shared" si="0"/>
        <v>1015433</v>
      </c>
      <c r="AI10" s="161">
        <f t="shared" si="0"/>
        <v>1010599</v>
      </c>
      <c r="AJ10" s="161">
        <f t="shared" si="0"/>
        <v>1031888</v>
      </c>
      <c r="AK10" s="161">
        <f t="shared" si="0"/>
        <v>1059766</v>
      </c>
      <c r="AL10" s="161">
        <f t="shared" si="0"/>
        <v>1082132</v>
      </c>
      <c r="AM10" s="161">
        <f t="shared" si="0"/>
        <v>1085880</v>
      </c>
      <c r="AN10" s="161">
        <f t="shared" si="0"/>
        <v>1239479</v>
      </c>
      <c r="AO10" s="161">
        <f>AO11+AO12+AO16+AO24+AO32+AO34+AO40+AO46+AO55</f>
        <v>1262274</v>
      </c>
      <c r="AP10" s="376">
        <f t="shared" ref="AP10:AR10" si="1">AP11+AP12+AP16+AP24+AP32+AP34+AP40+AP46+AP55</f>
        <v>1263947</v>
      </c>
      <c r="AQ10" s="376">
        <f t="shared" si="1"/>
        <v>1261998</v>
      </c>
      <c r="AR10" s="376">
        <f t="shared" si="1"/>
        <v>1281833.5659999999</v>
      </c>
      <c r="AS10" s="377">
        <f t="shared" ref="AS10" si="2">AS11+AS12+AS16+AS24+AS32+AS34+AS40+AS46+AS55</f>
        <v>1267893</v>
      </c>
      <c r="AT10" s="718"/>
    </row>
    <row r="11" spans="1:220" s="164" customFormat="1" ht="15" customHeight="1" x14ac:dyDescent="0.2">
      <c r="A11" s="173" t="s">
        <v>209</v>
      </c>
      <c r="B11" s="160">
        <v>4244</v>
      </c>
      <c r="C11" s="160">
        <v>4916</v>
      </c>
      <c r="D11" s="160">
        <v>4100</v>
      </c>
      <c r="E11" s="160">
        <v>5487</v>
      </c>
      <c r="F11" s="160">
        <v>5702</v>
      </c>
      <c r="G11" s="160">
        <v>5134</v>
      </c>
      <c r="H11" s="161">
        <v>7259</v>
      </c>
      <c r="I11" s="161">
        <v>9295</v>
      </c>
      <c r="J11" s="161">
        <v>7533</v>
      </c>
      <c r="K11" s="161">
        <v>9001</v>
      </c>
      <c r="L11" s="161">
        <v>8571</v>
      </c>
      <c r="M11" s="161">
        <v>6947</v>
      </c>
      <c r="N11" s="161">
        <v>8705</v>
      </c>
      <c r="O11" s="161">
        <v>6877</v>
      </c>
      <c r="P11" s="161">
        <v>9669</v>
      </c>
      <c r="Q11" s="161">
        <v>15738</v>
      </c>
      <c r="R11" s="161">
        <v>6785</v>
      </c>
      <c r="S11" s="161">
        <v>7715</v>
      </c>
      <c r="T11" s="161">
        <v>10018</v>
      </c>
      <c r="U11" s="161">
        <v>22574</v>
      </c>
      <c r="V11" s="161">
        <v>25069</v>
      </c>
      <c r="W11" s="161">
        <v>13997</v>
      </c>
      <c r="X11" s="161">
        <v>12944</v>
      </c>
      <c r="Y11" s="161">
        <v>12077</v>
      </c>
      <c r="Z11" s="162">
        <v>11347</v>
      </c>
      <c r="AA11" s="162">
        <v>16180</v>
      </c>
      <c r="AB11" s="161">
        <v>16427</v>
      </c>
      <c r="AC11" s="161">
        <v>12196</v>
      </c>
      <c r="AD11" s="161">
        <v>12110</v>
      </c>
      <c r="AE11" s="161">
        <v>11535</v>
      </c>
      <c r="AF11" s="161">
        <v>11316</v>
      </c>
      <c r="AG11" s="161">
        <v>14646</v>
      </c>
      <c r="AH11" s="161">
        <v>13683</v>
      </c>
      <c r="AI11" s="161">
        <v>11677</v>
      </c>
      <c r="AJ11" s="161">
        <v>12917</v>
      </c>
      <c r="AK11" s="161">
        <v>17457</v>
      </c>
      <c r="AL11" s="161">
        <v>18660</v>
      </c>
      <c r="AM11" s="161">
        <v>32449</v>
      </c>
      <c r="AN11" s="161">
        <v>13013</v>
      </c>
      <c r="AO11" s="161">
        <v>14697</v>
      </c>
      <c r="AP11" s="376">
        <v>12029</v>
      </c>
      <c r="AQ11" s="376">
        <v>13525</v>
      </c>
      <c r="AR11" s="376">
        <v>16926.561000000002</v>
      </c>
      <c r="AS11" s="377">
        <v>15224</v>
      </c>
      <c r="AT11" s="718"/>
    </row>
    <row r="12" spans="1:220" s="164" customFormat="1" ht="15" customHeight="1" x14ac:dyDescent="0.2">
      <c r="A12" s="173" t="s">
        <v>210</v>
      </c>
      <c r="B12" s="161">
        <f t="shared" ref="B12:AN12" si="3">SUM(B13:B15)</f>
        <v>31601</v>
      </c>
      <c r="C12" s="161">
        <f t="shared" si="3"/>
        <v>27394</v>
      </c>
      <c r="D12" s="161">
        <f t="shared" si="3"/>
        <v>39856</v>
      </c>
      <c r="E12" s="161">
        <f t="shared" si="3"/>
        <v>37622</v>
      </c>
      <c r="F12" s="161">
        <f t="shared" si="3"/>
        <v>48675</v>
      </c>
      <c r="G12" s="161">
        <f t="shared" si="3"/>
        <v>73692</v>
      </c>
      <c r="H12" s="161">
        <f t="shared" si="3"/>
        <v>57351</v>
      </c>
      <c r="I12" s="161">
        <f t="shared" si="3"/>
        <v>74191</v>
      </c>
      <c r="J12" s="161">
        <f t="shared" si="3"/>
        <v>93342</v>
      </c>
      <c r="K12" s="161">
        <f t="shared" si="3"/>
        <v>89637</v>
      </c>
      <c r="L12" s="161">
        <f t="shared" si="3"/>
        <v>97488</v>
      </c>
      <c r="M12" s="161">
        <f t="shared" si="3"/>
        <v>110797</v>
      </c>
      <c r="N12" s="161">
        <f t="shared" si="3"/>
        <v>97165</v>
      </c>
      <c r="O12" s="161">
        <f t="shared" si="3"/>
        <v>96478</v>
      </c>
      <c r="P12" s="161">
        <f t="shared" si="3"/>
        <v>92567</v>
      </c>
      <c r="Q12" s="161">
        <f t="shared" si="3"/>
        <v>73232</v>
      </c>
      <c r="R12" s="161">
        <f t="shared" si="3"/>
        <v>100159</v>
      </c>
      <c r="S12" s="161">
        <f t="shared" si="3"/>
        <v>86147</v>
      </c>
      <c r="T12" s="161">
        <f t="shared" si="3"/>
        <v>85963</v>
      </c>
      <c r="U12" s="161">
        <f t="shared" si="3"/>
        <v>82303</v>
      </c>
      <c r="V12" s="161">
        <f t="shared" si="3"/>
        <v>84690</v>
      </c>
      <c r="W12" s="161">
        <f t="shared" si="3"/>
        <v>92858</v>
      </c>
      <c r="X12" s="161">
        <f t="shared" si="3"/>
        <v>126772</v>
      </c>
      <c r="Y12" s="161">
        <f t="shared" si="3"/>
        <v>151813</v>
      </c>
      <c r="Z12" s="161">
        <f t="shared" si="3"/>
        <v>171333</v>
      </c>
      <c r="AA12" s="161">
        <f t="shared" si="3"/>
        <v>147485</v>
      </c>
      <c r="AB12" s="161">
        <f t="shared" si="3"/>
        <v>144967</v>
      </c>
      <c r="AC12" s="161">
        <f t="shared" si="3"/>
        <v>135456</v>
      </c>
      <c r="AD12" s="161">
        <f t="shared" si="3"/>
        <v>127014</v>
      </c>
      <c r="AE12" s="161">
        <f t="shared" si="3"/>
        <v>137654</v>
      </c>
      <c r="AF12" s="161">
        <f t="shared" si="3"/>
        <v>181335</v>
      </c>
      <c r="AG12" s="161">
        <f t="shared" si="3"/>
        <v>202412</v>
      </c>
      <c r="AH12" s="161">
        <f t="shared" si="3"/>
        <v>195746</v>
      </c>
      <c r="AI12" s="161">
        <f t="shared" si="3"/>
        <v>176268</v>
      </c>
      <c r="AJ12" s="161">
        <f t="shared" si="3"/>
        <v>153370</v>
      </c>
      <c r="AK12" s="161">
        <f t="shared" si="3"/>
        <v>140457</v>
      </c>
      <c r="AL12" s="161">
        <f t="shared" si="3"/>
        <v>165523</v>
      </c>
      <c r="AM12" s="161">
        <f t="shared" si="3"/>
        <v>138817</v>
      </c>
      <c r="AN12" s="161">
        <f t="shared" si="3"/>
        <v>177168</v>
      </c>
      <c r="AO12" s="161">
        <f>SUM(AO13:AO15)</f>
        <v>177685</v>
      </c>
      <c r="AP12" s="376">
        <f t="shared" ref="AP12:AS12" si="4">SUM(AP13:AP15)</f>
        <v>188116</v>
      </c>
      <c r="AQ12" s="376">
        <f t="shared" si="4"/>
        <v>177460</v>
      </c>
      <c r="AR12" s="376">
        <f t="shared" si="4"/>
        <v>178409.31300000002</v>
      </c>
      <c r="AS12" s="377">
        <f t="shared" si="4"/>
        <v>154270</v>
      </c>
      <c r="AT12" s="718"/>
    </row>
    <row r="13" spans="1:220" s="164" customFormat="1" ht="15" customHeight="1" x14ac:dyDescent="0.2">
      <c r="A13" s="172" t="s">
        <v>116</v>
      </c>
      <c r="B13" s="165">
        <v>26091</v>
      </c>
      <c r="C13" s="165">
        <v>23017</v>
      </c>
      <c r="D13" s="165">
        <v>33844</v>
      </c>
      <c r="E13" s="165">
        <v>32015</v>
      </c>
      <c r="F13" s="165">
        <v>42893</v>
      </c>
      <c r="G13" s="165">
        <v>67421</v>
      </c>
      <c r="H13" s="166">
        <v>52700</v>
      </c>
      <c r="I13" s="141">
        <v>61434</v>
      </c>
      <c r="J13" s="166">
        <v>83094</v>
      </c>
      <c r="K13" s="166">
        <v>81476</v>
      </c>
      <c r="L13" s="166">
        <v>88275</v>
      </c>
      <c r="M13" s="166">
        <v>101838</v>
      </c>
      <c r="N13" s="166">
        <v>89921</v>
      </c>
      <c r="O13" s="166">
        <v>88880</v>
      </c>
      <c r="P13" s="166">
        <v>84804</v>
      </c>
      <c r="Q13" s="166">
        <v>66178</v>
      </c>
      <c r="R13" s="166">
        <v>92471</v>
      </c>
      <c r="S13" s="166">
        <v>78135</v>
      </c>
      <c r="T13" s="166">
        <v>76028</v>
      </c>
      <c r="U13" s="166">
        <v>71526</v>
      </c>
      <c r="V13" s="166">
        <v>74469</v>
      </c>
      <c r="W13" s="166">
        <v>82255</v>
      </c>
      <c r="X13" s="166">
        <v>117856</v>
      </c>
      <c r="Y13" s="166">
        <v>142546</v>
      </c>
      <c r="Z13" s="166">
        <v>163869</v>
      </c>
      <c r="AA13" s="166">
        <v>139790</v>
      </c>
      <c r="AB13" s="166">
        <v>137097</v>
      </c>
      <c r="AC13" s="166">
        <v>124971</v>
      </c>
      <c r="AD13" s="166">
        <v>115742</v>
      </c>
      <c r="AE13" s="166">
        <v>125322</v>
      </c>
      <c r="AF13" s="166">
        <v>172478</v>
      </c>
      <c r="AG13" s="166">
        <v>194179</v>
      </c>
      <c r="AH13" s="166">
        <v>188695</v>
      </c>
      <c r="AI13" s="166">
        <v>171337</v>
      </c>
      <c r="AJ13" s="166">
        <v>142667</v>
      </c>
      <c r="AK13" s="166">
        <v>130436</v>
      </c>
      <c r="AL13" s="166">
        <v>155726</v>
      </c>
      <c r="AM13" s="166">
        <v>131597</v>
      </c>
      <c r="AN13" s="166">
        <v>164047</v>
      </c>
      <c r="AO13" s="166">
        <v>170198</v>
      </c>
      <c r="AP13" s="373">
        <v>182419</v>
      </c>
      <c r="AQ13" s="373">
        <v>171499</v>
      </c>
      <c r="AR13" s="373">
        <f>171744.045+2.913</f>
        <v>171746.95800000001</v>
      </c>
      <c r="AS13" s="374">
        <f>144938+79</f>
        <v>145017</v>
      </c>
      <c r="AT13" s="718"/>
    </row>
    <row r="14" spans="1:220" s="164" customFormat="1" ht="15" customHeight="1" x14ac:dyDescent="0.2">
      <c r="A14" s="139" t="s">
        <v>211</v>
      </c>
      <c r="B14" s="165">
        <v>5510</v>
      </c>
      <c r="C14" s="165">
        <v>4377</v>
      </c>
      <c r="D14" s="165">
        <v>6012</v>
      </c>
      <c r="E14" s="165">
        <v>5617</v>
      </c>
      <c r="F14" s="165">
        <v>5787</v>
      </c>
      <c r="G14" s="165">
        <v>6286</v>
      </c>
      <c r="H14" s="166">
        <v>4664</v>
      </c>
      <c r="I14" s="141">
        <v>12760</v>
      </c>
      <c r="J14" s="166">
        <v>10248</v>
      </c>
      <c r="K14" s="166">
        <v>8162</v>
      </c>
      <c r="L14" s="166">
        <v>9213</v>
      </c>
      <c r="M14" s="166">
        <v>8960</v>
      </c>
      <c r="N14" s="166">
        <v>7244</v>
      </c>
      <c r="O14" s="166">
        <v>7598</v>
      </c>
      <c r="P14" s="166">
        <v>7764</v>
      </c>
      <c r="Q14" s="166">
        <v>7055</v>
      </c>
      <c r="R14" s="166">
        <v>7694</v>
      </c>
      <c r="S14" s="166">
        <v>8019</v>
      </c>
      <c r="T14" s="166">
        <v>9937</v>
      </c>
      <c r="U14" s="166">
        <v>10778</v>
      </c>
      <c r="V14" s="166">
        <v>10222</v>
      </c>
      <c r="W14" s="166">
        <v>10604</v>
      </c>
      <c r="X14" s="166">
        <v>8917</v>
      </c>
      <c r="Y14" s="166">
        <v>9267</v>
      </c>
      <c r="Z14" s="166">
        <v>7465</v>
      </c>
      <c r="AA14" s="166">
        <v>7696</v>
      </c>
      <c r="AB14" s="166">
        <v>7902</v>
      </c>
      <c r="AC14" s="166">
        <v>10521</v>
      </c>
      <c r="AD14" s="166">
        <v>11312</v>
      </c>
      <c r="AE14" s="166">
        <v>12345</v>
      </c>
      <c r="AF14" s="166">
        <v>8890</v>
      </c>
      <c r="AG14" s="166">
        <v>8261</v>
      </c>
      <c r="AH14" s="166">
        <v>7079</v>
      </c>
      <c r="AI14" s="166">
        <v>4950</v>
      </c>
      <c r="AJ14" s="166">
        <v>10747</v>
      </c>
      <c r="AK14" s="166">
        <v>10056</v>
      </c>
      <c r="AL14" s="166">
        <v>9814</v>
      </c>
      <c r="AM14" s="166">
        <v>7231</v>
      </c>
      <c r="AN14" s="166">
        <v>13135</v>
      </c>
      <c r="AO14" s="166">
        <v>7487</v>
      </c>
      <c r="AP14" s="373">
        <f>5294+417</f>
        <v>5711</v>
      </c>
      <c r="AQ14" s="373">
        <v>5974</v>
      </c>
      <c r="AR14" s="373">
        <f>5618.815+1051.54</f>
        <v>6670.3549999999996</v>
      </c>
      <c r="AS14" s="374">
        <f>8014+1245</f>
        <v>9259</v>
      </c>
      <c r="AT14" s="718"/>
    </row>
    <row r="15" spans="1:220" s="164" customFormat="1" ht="15" customHeight="1" x14ac:dyDescent="0.2">
      <c r="A15" s="172" t="s">
        <v>113</v>
      </c>
      <c r="B15" s="165">
        <v>0</v>
      </c>
      <c r="C15" s="165">
        <v>0</v>
      </c>
      <c r="D15" s="165">
        <v>0</v>
      </c>
      <c r="E15" s="165">
        <v>-10</v>
      </c>
      <c r="F15" s="165">
        <v>-5</v>
      </c>
      <c r="G15" s="165">
        <v>-15</v>
      </c>
      <c r="H15" s="166">
        <v>-13</v>
      </c>
      <c r="I15" s="166">
        <v>-3</v>
      </c>
      <c r="J15" s="166">
        <v>0</v>
      </c>
      <c r="K15" s="166">
        <v>-1</v>
      </c>
      <c r="L15" s="166">
        <v>0</v>
      </c>
      <c r="M15" s="166">
        <v>-1</v>
      </c>
      <c r="N15" s="166">
        <v>0</v>
      </c>
      <c r="O15" s="166">
        <v>0</v>
      </c>
      <c r="P15" s="166">
        <v>-1</v>
      </c>
      <c r="Q15" s="166">
        <v>-1</v>
      </c>
      <c r="R15" s="166">
        <v>-6</v>
      </c>
      <c r="S15" s="166">
        <v>-7</v>
      </c>
      <c r="T15" s="166">
        <v>-2</v>
      </c>
      <c r="U15" s="166">
        <v>-1</v>
      </c>
      <c r="V15" s="166">
        <v>-1</v>
      </c>
      <c r="W15" s="166">
        <v>-1</v>
      </c>
      <c r="X15" s="166">
        <v>-1</v>
      </c>
      <c r="Y15" s="166">
        <v>0</v>
      </c>
      <c r="Z15" s="166">
        <v>-1</v>
      </c>
      <c r="AA15" s="166">
        <v>-1</v>
      </c>
      <c r="AB15" s="166">
        <v>-32</v>
      </c>
      <c r="AC15" s="166">
        <v>-36</v>
      </c>
      <c r="AD15" s="166">
        <v>-40</v>
      </c>
      <c r="AE15" s="166">
        <v>-13</v>
      </c>
      <c r="AF15" s="166">
        <v>-33</v>
      </c>
      <c r="AG15" s="166">
        <v>-28</v>
      </c>
      <c r="AH15" s="166">
        <v>-28</v>
      </c>
      <c r="AI15" s="166">
        <v>-19</v>
      </c>
      <c r="AJ15" s="166">
        <v>-44</v>
      </c>
      <c r="AK15" s="166">
        <v>-35</v>
      </c>
      <c r="AL15" s="166">
        <v>-17</v>
      </c>
      <c r="AM15" s="166">
        <v>-11</v>
      </c>
      <c r="AN15" s="166">
        <v>-14</v>
      </c>
      <c r="AO15" s="166">
        <v>0</v>
      </c>
      <c r="AP15" s="373">
        <v>-14</v>
      </c>
      <c r="AQ15" s="373">
        <v>-13</v>
      </c>
      <c r="AR15" s="373">
        <v>-8</v>
      </c>
      <c r="AS15" s="374">
        <v>-6</v>
      </c>
      <c r="AT15" s="718"/>
    </row>
    <row r="16" spans="1:220" s="164" customFormat="1" ht="15" customHeight="1" x14ac:dyDescent="0.2">
      <c r="A16" s="173" t="s">
        <v>212</v>
      </c>
      <c r="B16" s="161">
        <f t="shared" ref="B16:AN16" si="5">SUM(B17:B23)</f>
        <v>97534</v>
      </c>
      <c r="C16" s="161">
        <f t="shared" si="5"/>
        <v>103577</v>
      </c>
      <c r="D16" s="161">
        <f t="shared" si="5"/>
        <v>108098</v>
      </c>
      <c r="E16" s="161">
        <f t="shared" si="5"/>
        <v>114452</v>
      </c>
      <c r="F16" s="161">
        <f t="shared" si="5"/>
        <v>105167</v>
      </c>
      <c r="G16" s="161">
        <f t="shared" si="5"/>
        <v>118956</v>
      </c>
      <c r="H16" s="161">
        <f t="shared" si="5"/>
        <v>132373</v>
      </c>
      <c r="I16" s="161">
        <f t="shared" si="5"/>
        <v>131597</v>
      </c>
      <c r="J16" s="161">
        <f t="shared" si="5"/>
        <v>130816</v>
      </c>
      <c r="K16" s="161">
        <f t="shared" si="5"/>
        <v>146110</v>
      </c>
      <c r="L16" s="161">
        <f t="shared" si="5"/>
        <v>147724</v>
      </c>
      <c r="M16" s="161">
        <f t="shared" si="5"/>
        <v>146618</v>
      </c>
      <c r="N16" s="161">
        <f t="shared" si="5"/>
        <v>157309</v>
      </c>
      <c r="O16" s="161">
        <f t="shared" si="5"/>
        <v>156755</v>
      </c>
      <c r="P16" s="161">
        <f t="shared" si="5"/>
        <v>196081</v>
      </c>
      <c r="Q16" s="161">
        <f t="shared" si="5"/>
        <v>213518</v>
      </c>
      <c r="R16" s="161">
        <f t="shared" si="5"/>
        <v>217482</v>
      </c>
      <c r="S16" s="161">
        <f t="shared" si="5"/>
        <v>231425</v>
      </c>
      <c r="T16" s="161">
        <f t="shared" si="5"/>
        <v>244622</v>
      </c>
      <c r="U16" s="161">
        <f t="shared" si="5"/>
        <v>265723</v>
      </c>
      <c r="V16" s="161">
        <f t="shared" si="5"/>
        <v>294959</v>
      </c>
      <c r="W16" s="161">
        <f t="shared" si="5"/>
        <v>322507</v>
      </c>
      <c r="X16" s="161">
        <f t="shared" si="5"/>
        <v>319537</v>
      </c>
      <c r="Y16" s="161">
        <f t="shared" si="5"/>
        <v>315487</v>
      </c>
      <c r="Z16" s="161">
        <f t="shared" si="5"/>
        <v>300600</v>
      </c>
      <c r="AA16" s="161">
        <f t="shared" si="5"/>
        <v>309027</v>
      </c>
      <c r="AB16" s="161">
        <f t="shared" si="5"/>
        <v>313679</v>
      </c>
      <c r="AC16" s="161">
        <f t="shared" si="5"/>
        <v>313327</v>
      </c>
      <c r="AD16" s="161">
        <f t="shared" si="5"/>
        <v>321970</v>
      </c>
      <c r="AE16" s="161">
        <f t="shared" si="5"/>
        <v>333200</v>
      </c>
      <c r="AF16" s="161">
        <f t="shared" si="5"/>
        <v>343445</v>
      </c>
      <c r="AG16" s="161">
        <f t="shared" si="5"/>
        <v>346358</v>
      </c>
      <c r="AH16" s="161">
        <f t="shared" si="5"/>
        <v>344430</v>
      </c>
      <c r="AI16" s="161">
        <f t="shared" si="5"/>
        <v>356115</v>
      </c>
      <c r="AJ16" s="161">
        <f t="shared" si="5"/>
        <v>364472</v>
      </c>
      <c r="AK16" s="161">
        <f t="shared" si="5"/>
        <v>407584</v>
      </c>
      <c r="AL16" s="161">
        <f t="shared" si="5"/>
        <v>414926</v>
      </c>
      <c r="AM16" s="161">
        <f t="shared" si="5"/>
        <v>437580</v>
      </c>
      <c r="AN16" s="161">
        <f t="shared" si="5"/>
        <v>509184</v>
      </c>
      <c r="AO16" s="161">
        <f>SUM(AO17:AO23)</f>
        <v>549873</v>
      </c>
      <c r="AP16" s="376">
        <f>SUM(AP17:AP23)</f>
        <v>549700</v>
      </c>
      <c r="AQ16" s="376">
        <f>SUM(AQ17:AQ23)</f>
        <v>540106</v>
      </c>
      <c r="AR16" s="376">
        <f>SUM(AR17:AR23)</f>
        <v>572098.65999999992</v>
      </c>
      <c r="AS16" s="377">
        <f>SUM(AS17:AS23)</f>
        <v>584649</v>
      </c>
      <c r="AT16" s="718"/>
    </row>
    <row r="17" spans="1:46" s="164" customFormat="1" ht="15" customHeight="1" x14ac:dyDescent="0.2">
      <c r="A17" s="172" t="s">
        <v>213</v>
      </c>
      <c r="B17" s="165">
        <v>77568</v>
      </c>
      <c r="C17" s="165">
        <v>80154</v>
      </c>
      <c r="D17" s="165">
        <v>83664</v>
      </c>
      <c r="E17" s="165">
        <v>84079</v>
      </c>
      <c r="F17" s="165">
        <v>90636</v>
      </c>
      <c r="G17" s="165">
        <v>96065</v>
      </c>
      <c r="H17" s="166">
        <v>102011</v>
      </c>
      <c r="I17" s="141">
        <v>104052</v>
      </c>
      <c r="J17" s="166">
        <v>106922</v>
      </c>
      <c r="K17" s="166">
        <v>114094</v>
      </c>
      <c r="L17" s="166">
        <v>120606</v>
      </c>
      <c r="M17" s="166">
        <v>117640</v>
      </c>
      <c r="N17" s="166">
        <v>121205</v>
      </c>
      <c r="O17" s="166">
        <v>126838</v>
      </c>
      <c r="P17" s="166">
        <v>136485</v>
      </c>
      <c r="Q17" s="166">
        <v>135191</v>
      </c>
      <c r="R17" s="166">
        <v>138983</v>
      </c>
      <c r="S17" s="166">
        <v>148333</v>
      </c>
      <c r="T17" s="166">
        <v>154500</v>
      </c>
      <c r="U17" s="166">
        <v>166303</v>
      </c>
      <c r="V17" s="166">
        <v>195036</v>
      </c>
      <c r="W17" s="166">
        <v>216131</v>
      </c>
      <c r="X17" s="166">
        <v>228251</v>
      </c>
      <c r="Y17" s="166">
        <v>232634</v>
      </c>
      <c r="Z17" s="166">
        <v>221860</v>
      </c>
      <c r="AA17" s="166">
        <v>217978</v>
      </c>
      <c r="AB17" s="166">
        <v>233130</v>
      </c>
      <c r="AC17" s="166">
        <v>228365</v>
      </c>
      <c r="AD17" s="166">
        <v>236042</v>
      </c>
      <c r="AE17" s="166">
        <v>251863</v>
      </c>
      <c r="AF17" s="166">
        <v>267983</v>
      </c>
      <c r="AG17" s="166">
        <v>270883</v>
      </c>
      <c r="AH17" s="166">
        <v>272364</v>
      </c>
      <c r="AI17" s="166">
        <v>282714</v>
      </c>
      <c r="AJ17" s="166">
        <v>287870</v>
      </c>
      <c r="AK17" s="166">
        <v>311601</v>
      </c>
      <c r="AL17" s="166">
        <v>342446</v>
      </c>
      <c r="AM17" s="166">
        <v>333079</v>
      </c>
      <c r="AN17" s="166">
        <v>399627</v>
      </c>
      <c r="AO17" s="166">
        <v>422525</v>
      </c>
      <c r="AP17" s="373">
        <f>341431+83426</f>
        <v>424857</v>
      </c>
      <c r="AQ17" s="373">
        <v>412494</v>
      </c>
      <c r="AR17" s="373">
        <f>351930.649+72141.684</f>
        <v>424072.33299999998</v>
      </c>
      <c r="AS17" s="374">
        <f>358037+75933</f>
        <v>433970</v>
      </c>
      <c r="AT17" s="718"/>
    </row>
    <row r="18" spans="1:46" s="164" customFormat="1" ht="15" customHeight="1" x14ac:dyDescent="0.2">
      <c r="A18" s="172" t="s">
        <v>214</v>
      </c>
      <c r="B18" s="165">
        <v>9944</v>
      </c>
      <c r="C18" s="165">
        <v>10856</v>
      </c>
      <c r="D18" s="165">
        <v>9184</v>
      </c>
      <c r="E18" s="165">
        <v>11731</v>
      </c>
      <c r="F18" s="165">
        <v>2292</v>
      </c>
      <c r="G18" s="165">
        <v>9034</v>
      </c>
      <c r="H18" s="166">
        <v>6357</v>
      </c>
      <c r="I18" s="141">
        <v>4265</v>
      </c>
      <c r="J18" s="166">
        <v>961</v>
      </c>
      <c r="K18" s="166">
        <v>1215</v>
      </c>
      <c r="L18" s="166">
        <v>1491</v>
      </c>
      <c r="M18" s="166">
        <v>7402</v>
      </c>
      <c r="N18" s="166">
        <v>19764</v>
      </c>
      <c r="O18" s="166">
        <v>16779</v>
      </c>
      <c r="P18" s="166">
        <v>53888</v>
      </c>
      <c r="Q18" s="166">
        <v>74019</v>
      </c>
      <c r="R18" s="166">
        <v>72983</v>
      </c>
      <c r="S18" s="166">
        <v>76190</v>
      </c>
      <c r="T18" s="166">
        <v>84697</v>
      </c>
      <c r="U18" s="166">
        <v>79956</v>
      </c>
      <c r="V18" s="166">
        <v>91281</v>
      </c>
      <c r="W18" s="166">
        <v>97455</v>
      </c>
      <c r="X18" s="166">
        <v>82456</v>
      </c>
      <c r="Y18" s="166">
        <v>59927</v>
      </c>
      <c r="Z18" s="166">
        <v>64538</v>
      </c>
      <c r="AA18" s="166">
        <v>76362</v>
      </c>
      <c r="AB18" s="166">
        <v>70739</v>
      </c>
      <c r="AC18" s="166">
        <v>75581</v>
      </c>
      <c r="AD18" s="166">
        <v>74402</v>
      </c>
      <c r="AE18" s="166">
        <v>66508</v>
      </c>
      <c r="AF18" s="166">
        <v>64137</v>
      </c>
      <c r="AG18" s="166">
        <v>64387</v>
      </c>
      <c r="AH18" s="166">
        <v>52535</v>
      </c>
      <c r="AI18" s="166">
        <v>59911</v>
      </c>
      <c r="AJ18" s="166">
        <v>55021</v>
      </c>
      <c r="AK18" s="166">
        <v>69972</v>
      </c>
      <c r="AL18" s="166">
        <v>54701</v>
      </c>
      <c r="AM18" s="166">
        <v>70324</v>
      </c>
      <c r="AN18" s="166">
        <v>71633</v>
      </c>
      <c r="AO18" s="166">
        <v>90715</v>
      </c>
      <c r="AP18" s="373">
        <f>10827+79393+1</f>
        <v>90221</v>
      </c>
      <c r="AQ18" s="373">
        <v>92299</v>
      </c>
      <c r="AR18" s="373">
        <f>25049.491+87278.677</f>
        <v>112328.16800000001</v>
      </c>
      <c r="AS18" s="374">
        <f>44445+75498</f>
        <v>119943</v>
      </c>
      <c r="AT18" s="718"/>
    </row>
    <row r="19" spans="1:46" s="164" customFormat="1" ht="15" customHeight="1" x14ac:dyDescent="0.2">
      <c r="A19" s="172" t="s">
        <v>80</v>
      </c>
      <c r="B19" s="165">
        <v>1025</v>
      </c>
      <c r="C19" s="165">
        <v>2442</v>
      </c>
      <c r="D19" s="165">
        <v>2679</v>
      </c>
      <c r="E19" s="165">
        <v>1207</v>
      </c>
      <c r="F19" s="165">
        <v>2029</v>
      </c>
      <c r="G19" s="165">
        <v>2073</v>
      </c>
      <c r="H19" s="166">
        <v>1926</v>
      </c>
      <c r="I19" s="141">
        <v>2364</v>
      </c>
      <c r="J19" s="166">
        <v>2282</v>
      </c>
      <c r="K19" s="166">
        <v>3188</v>
      </c>
      <c r="L19" s="166">
        <v>2500</v>
      </c>
      <c r="M19" s="166">
        <v>1359</v>
      </c>
      <c r="N19" s="166">
        <v>3051</v>
      </c>
      <c r="O19" s="166">
        <v>1607</v>
      </c>
      <c r="P19" s="166">
        <v>2364</v>
      </c>
      <c r="Q19" s="166">
        <v>1610</v>
      </c>
      <c r="R19" s="166">
        <v>3256</v>
      </c>
      <c r="S19" s="166">
        <v>2259</v>
      </c>
      <c r="T19" s="166">
        <v>2804</v>
      </c>
      <c r="U19" s="166">
        <v>919</v>
      </c>
      <c r="V19" s="166">
        <v>2265</v>
      </c>
      <c r="W19" s="166">
        <v>3152</v>
      </c>
      <c r="X19" s="166">
        <v>3100</v>
      </c>
      <c r="Y19" s="166">
        <v>3156</v>
      </c>
      <c r="Z19" s="166">
        <v>1544</v>
      </c>
      <c r="AA19" s="166">
        <v>3238</v>
      </c>
      <c r="AB19" s="166">
        <v>3308</v>
      </c>
      <c r="AC19" s="166">
        <v>2500</v>
      </c>
      <c r="AD19" s="166">
        <v>4373</v>
      </c>
      <c r="AE19" s="166">
        <v>5734</v>
      </c>
      <c r="AF19" s="166">
        <v>5450</v>
      </c>
      <c r="AG19" s="166">
        <v>4562</v>
      </c>
      <c r="AH19" s="166">
        <v>6282</v>
      </c>
      <c r="AI19" s="166">
        <v>6261</v>
      </c>
      <c r="AJ19" s="166">
        <v>13941</v>
      </c>
      <c r="AK19" s="166">
        <v>13540</v>
      </c>
      <c r="AL19" s="166">
        <v>9881</v>
      </c>
      <c r="AM19" s="166">
        <v>17793</v>
      </c>
      <c r="AN19" s="166">
        <v>14527</v>
      </c>
      <c r="AO19" s="166">
        <v>15911</v>
      </c>
      <c r="AP19" s="373">
        <f>16560+90</f>
        <v>16650</v>
      </c>
      <c r="AQ19" s="373">
        <v>13788</v>
      </c>
      <c r="AR19" s="373">
        <f>15924.09+84.872</f>
        <v>16008.962</v>
      </c>
      <c r="AS19" s="374">
        <f>13508+679</f>
        <v>14187</v>
      </c>
      <c r="AT19" s="718"/>
    </row>
    <row r="20" spans="1:46" s="164" customFormat="1" ht="15" customHeight="1" x14ac:dyDescent="0.2">
      <c r="A20" s="172" t="s">
        <v>215</v>
      </c>
      <c r="B20" s="165">
        <v>6869</v>
      </c>
      <c r="C20" s="165">
        <v>6328</v>
      </c>
      <c r="D20" s="165">
        <v>4667</v>
      </c>
      <c r="E20" s="165">
        <v>8274</v>
      </c>
      <c r="F20" s="165">
        <v>5465</v>
      </c>
      <c r="G20" s="165">
        <v>7314</v>
      </c>
      <c r="H20" s="166">
        <v>16413</v>
      </c>
      <c r="I20" s="141">
        <v>13183</v>
      </c>
      <c r="J20" s="166">
        <v>14413</v>
      </c>
      <c r="K20" s="166">
        <v>18708</v>
      </c>
      <c r="L20" s="166">
        <v>17511</v>
      </c>
      <c r="M20" s="166">
        <v>14772</v>
      </c>
      <c r="N20" s="166">
        <v>6990</v>
      </c>
      <c r="O20" s="166">
        <v>4553</v>
      </c>
      <c r="P20" s="166">
        <v>0</v>
      </c>
      <c r="Q20" s="166">
        <v>0</v>
      </c>
      <c r="R20" s="166">
        <v>0</v>
      </c>
      <c r="S20" s="166">
        <v>1302</v>
      </c>
      <c r="T20" s="166">
        <v>2</v>
      </c>
      <c r="U20" s="166">
        <v>8500</v>
      </c>
      <c r="V20" s="166">
        <v>1003</v>
      </c>
      <c r="W20" s="166">
        <v>0</v>
      </c>
      <c r="X20" s="166">
        <v>0</v>
      </c>
      <c r="Y20" s="166">
        <v>6694</v>
      </c>
      <c r="Z20" s="166">
        <v>0</v>
      </c>
      <c r="AA20" s="166">
        <v>47</v>
      </c>
      <c r="AB20" s="166">
        <v>0</v>
      </c>
      <c r="AC20" s="166">
        <v>0</v>
      </c>
      <c r="AD20" s="166">
        <v>3</v>
      </c>
      <c r="AE20" s="166">
        <v>19</v>
      </c>
      <c r="AF20" s="166">
        <v>20</v>
      </c>
      <c r="AG20" s="166">
        <v>20</v>
      </c>
      <c r="AH20" s="166">
        <v>5968</v>
      </c>
      <c r="AI20" s="166">
        <v>20</v>
      </c>
      <c r="AJ20" s="166">
        <v>22</v>
      </c>
      <c r="AK20" s="166">
        <v>22</v>
      </c>
      <c r="AL20" s="166">
        <v>64</v>
      </c>
      <c r="AM20" s="166">
        <v>65</v>
      </c>
      <c r="AN20" s="166">
        <v>551</v>
      </c>
      <c r="AO20" s="166">
        <v>174</v>
      </c>
      <c r="AP20" s="373">
        <v>154</v>
      </c>
      <c r="AQ20" s="373">
        <v>162</v>
      </c>
      <c r="AR20" s="373">
        <f>81+2-1</f>
        <v>82</v>
      </c>
      <c r="AS20" s="374">
        <f>46+36</f>
        <v>82</v>
      </c>
      <c r="AT20" s="718"/>
    </row>
    <row r="21" spans="1:46" s="164" customFormat="1" ht="15" customHeight="1" x14ac:dyDescent="0.2">
      <c r="A21" s="172" t="s">
        <v>90</v>
      </c>
      <c r="B21" s="165">
        <v>80</v>
      </c>
      <c r="C21" s="165">
        <v>90</v>
      </c>
      <c r="D21" s="165">
        <v>88</v>
      </c>
      <c r="E21" s="165">
        <v>80</v>
      </c>
      <c r="F21" s="165">
        <v>100</v>
      </c>
      <c r="G21" s="165">
        <v>101</v>
      </c>
      <c r="H21" s="166">
        <v>99</v>
      </c>
      <c r="I21" s="141">
        <v>100</v>
      </c>
      <c r="J21" s="166">
        <v>99</v>
      </c>
      <c r="K21" s="166">
        <v>99</v>
      </c>
      <c r="L21" s="166">
        <v>95</v>
      </c>
      <c r="M21" s="166">
        <v>94</v>
      </c>
      <c r="N21" s="166">
        <v>92</v>
      </c>
      <c r="O21" s="166">
        <v>91</v>
      </c>
      <c r="P21" s="166">
        <v>88</v>
      </c>
      <c r="Q21" s="166">
        <v>88</v>
      </c>
      <c r="R21" s="166">
        <v>86</v>
      </c>
      <c r="S21" s="166">
        <v>84</v>
      </c>
      <c r="T21" s="166">
        <v>82</v>
      </c>
      <c r="U21" s="166">
        <v>81</v>
      </c>
      <c r="V21" s="166">
        <v>79</v>
      </c>
      <c r="W21" s="166">
        <v>78</v>
      </c>
      <c r="X21" s="166">
        <v>75</v>
      </c>
      <c r="Y21" s="166">
        <v>74</v>
      </c>
      <c r="Z21" s="166">
        <v>71</v>
      </c>
      <c r="AA21" s="166">
        <v>70</v>
      </c>
      <c r="AB21" s="166">
        <v>67</v>
      </c>
      <c r="AC21" s="166">
        <v>66</v>
      </c>
      <c r="AD21" s="166">
        <v>63</v>
      </c>
      <c r="AE21" s="166">
        <v>62</v>
      </c>
      <c r="AF21" s="166">
        <v>60</v>
      </c>
      <c r="AG21" s="166">
        <v>59</v>
      </c>
      <c r="AH21" s="166">
        <v>57</v>
      </c>
      <c r="AI21" s="166">
        <v>56</v>
      </c>
      <c r="AJ21" s="166">
        <v>53</v>
      </c>
      <c r="AK21" s="166">
        <v>52</v>
      </c>
      <c r="AL21" s="166">
        <v>52</v>
      </c>
      <c r="AM21" s="166">
        <v>50</v>
      </c>
      <c r="AN21" s="166">
        <v>50</v>
      </c>
      <c r="AO21" s="166">
        <v>49</v>
      </c>
      <c r="AP21" s="373">
        <v>47</v>
      </c>
      <c r="AQ21" s="373">
        <v>47</v>
      </c>
      <c r="AR21" s="373">
        <v>45</v>
      </c>
      <c r="AS21" s="374">
        <v>44</v>
      </c>
      <c r="AT21" s="718"/>
    </row>
    <row r="22" spans="1:46" s="164" customFormat="1" ht="15" customHeight="1" x14ac:dyDescent="0.2">
      <c r="A22" s="172" t="s">
        <v>216</v>
      </c>
      <c r="B22" s="165">
        <v>2046</v>
      </c>
      <c r="C22" s="165">
        <v>3705</v>
      </c>
      <c r="D22" s="165">
        <v>4718</v>
      </c>
      <c r="E22" s="165">
        <v>4070</v>
      </c>
      <c r="F22" s="165">
        <v>4294</v>
      </c>
      <c r="G22" s="165">
        <v>4014</v>
      </c>
      <c r="H22" s="166">
        <v>5523</v>
      </c>
      <c r="I22" s="141">
        <v>7591</v>
      </c>
      <c r="J22" s="166">
        <v>6095</v>
      </c>
      <c r="K22" s="166">
        <v>8732</v>
      </c>
      <c r="L22" s="166">
        <v>5476</v>
      </c>
      <c r="M22" s="166">
        <v>5306</v>
      </c>
      <c r="N22" s="166">
        <v>6165</v>
      </c>
      <c r="O22" s="166">
        <v>6848</v>
      </c>
      <c r="P22" s="166">
        <v>3216</v>
      </c>
      <c r="Q22" s="166">
        <v>2554</v>
      </c>
      <c r="R22" s="166">
        <v>2116</v>
      </c>
      <c r="S22" s="166">
        <v>2190</v>
      </c>
      <c r="T22" s="166">
        <v>2478</v>
      </c>
      <c r="U22" s="166">
        <v>2566</v>
      </c>
      <c r="V22" s="166">
        <v>3475</v>
      </c>
      <c r="W22" s="166">
        <v>3952</v>
      </c>
      <c r="X22" s="166">
        <v>4806</v>
      </c>
      <c r="Y22" s="166">
        <v>10530</v>
      </c>
      <c r="Z22" s="166">
        <v>10090</v>
      </c>
      <c r="AA22" s="166">
        <v>9885</v>
      </c>
      <c r="AB22" s="166">
        <v>5818</v>
      </c>
      <c r="AC22" s="166">
        <v>6514</v>
      </c>
      <c r="AD22" s="166">
        <v>6780</v>
      </c>
      <c r="AE22" s="166">
        <v>7935</v>
      </c>
      <c r="AF22" s="166">
        <v>5471</v>
      </c>
      <c r="AG22" s="166">
        <v>6117</v>
      </c>
      <c r="AH22" s="166">
        <v>6885</v>
      </c>
      <c r="AI22" s="166">
        <v>6830</v>
      </c>
      <c r="AJ22" s="166">
        <v>6906</v>
      </c>
      <c r="AK22" s="166">
        <v>7353</v>
      </c>
      <c r="AL22" s="166">
        <v>6897</v>
      </c>
      <c r="AM22" s="166">
        <v>11547</v>
      </c>
      <c r="AN22" s="166">
        <v>13974</v>
      </c>
      <c r="AO22" s="166">
        <v>12280</v>
      </c>
      <c r="AP22" s="373">
        <f>6344+3841</f>
        <v>10185</v>
      </c>
      <c r="AQ22" s="373">
        <v>12203</v>
      </c>
      <c r="AR22" s="373">
        <f>8558.211+3946.296</f>
        <v>12504.507</v>
      </c>
      <c r="AS22" s="374">
        <f>8938+2474</f>
        <v>11412</v>
      </c>
      <c r="AT22" s="718"/>
    </row>
    <row r="23" spans="1:46" s="164" customFormat="1" ht="15" customHeight="1" x14ac:dyDescent="0.2">
      <c r="A23" s="172" t="s">
        <v>217</v>
      </c>
      <c r="B23" s="165">
        <v>2</v>
      </c>
      <c r="C23" s="165">
        <v>2</v>
      </c>
      <c r="D23" s="165">
        <v>3098</v>
      </c>
      <c r="E23" s="165">
        <v>5011</v>
      </c>
      <c r="F23" s="165">
        <v>351</v>
      </c>
      <c r="G23" s="165">
        <v>355</v>
      </c>
      <c r="H23" s="166">
        <v>44</v>
      </c>
      <c r="I23" s="141">
        <v>42</v>
      </c>
      <c r="J23" s="166">
        <v>44</v>
      </c>
      <c r="K23" s="166">
        <v>74</v>
      </c>
      <c r="L23" s="166">
        <v>45</v>
      </c>
      <c r="M23" s="166">
        <v>45</v>
      </c>
      <c r="N23" s="166">
        <v>42</v>
      </c>
      <c r="O23" s="166">
        <v>39</v>
      </c>
      <c r="P23" s="166">
        <v>40</v>
      </c>
      <c r="Q23" s="166">
        <v>56</v>
      </c>
      <c r="R23" s="166">
        <v>58</v>
      </c>
      <c r="S23" s="166">
        <v>1067</v>
      </c>
      <c r="T23" s="166">
        <v>59</v>
      </c>
      <c r="U23" s="166">
        <v>7398</v>
      </c>
      <c r="V23" s="166">
        <v>1820</v>
      </c>
      <c r="W23" s="166">
        <v>1739</v>
      </c>
      <c r="X23" s="166">
        <v>849</v>
      </c>
      <c r="Y23" s="166">
        <v>2472</v>
      </c>
      <c r="Z23" s="166">
        <v>2497</v>
      </c>
      <c r="AA23" s="166">
        <v>1447</v>
      </c>
      <c r="AB23" s="166">
        <v>617</v>
      </c>
      <c r="AC23" s="166">
        <v>301</v>
      </c>
      <c r="AD23" s="166">
        <v>307</v>
      </c>
      <c r="AE23" s="166">
        <v>1079</v>
      </c>
      <c r="AF23" s="166">
        <v>324</v>
      </c>
      <c r="AG23" s="166">
        <v>330</v>
      </c>
      <c r="AH23" s="166">
        <v>339</v>
      </c>
      <c r="AI23" s="166">
        <v>323</v>
      </c>
      <c r="AJ23" s="166">
        <v>659</v>
      </c>
      <c r="AK23" s="166">
        <v>5044</v>
      </c>
      <c r="AL23" s="166">
        <v>885</v>
      </c>
      <c r="AM23" s="166">
        <v>4722</v>
      </c>
      <c r="AN23" s="166">
        <v>8822</v>
      </c>
      <c r="AO23" s="166">
        <v>8219</v>
      </c>
      <c r="AP23" s="373">
        <f>1869+5717</f>
        <v>7586</v>
      </c>
      <c r="AQ23" s="373">
        <v>9113</v>
      </c>
      <c r="AR23" s="373">
        <f>635.232+6422.458</f>
        <v>7057.69</v>
      </c>
      <c r="AS23" s="374">
        <f>589+4422</f>
        <v>5011</v>
      </c>
      <c r="AT23" s="718"/>
    </row>
    <row r="24" spans="1:46" s="164" customFormat="1" ht="15" customHeight="1" x14ac:dyDescent="0.2">
      <c r="A24" s="173" t="s">
        <v>218</v>
      </c>
      <c r="B24" s="161">
        <f t="shared" ref="B24:AN24" si="6">SUM(B25:B31)</f>
        <v>19567</v>
      </c>
      <c r="C24" s="161">
        <f t="shared" si="6"/>
        <v>20118</v>
      </c>
      <c r="D24" s="161">
        <f t="shared" si="6"/>
        <v>20878</v>
      </c>
      <c r="E24" s="161">
        <f t="shared" si="6"/>
        <v>24037</v>
      </c>
      <c r="F24" s="161">
        <f t="shared" si="6"/>
        <v>24469</v>
      </c>
      <c r="G24" s="161">
        <f t="shared" si="6"/>
        <v>26072</v>
      </c>
      <c r="H24" s="161">
        <f t="shared" si="6"/>
        <v>26986</v>
      </c>
      <c r="I24" s="161">
        <f t="shared" si="6"/>
        <v>13748</v>
      </c>
      <c r="J24" s="161">
        <f t="shared" si="6"/>
        <v>15676</v>
      </c>
      <c r="K24" s="161">
        <f t="shared" si="6"/>
        <v>16597</v>
      </c>
      <c r="L24" s="161">
        <f t="shared" si="6"/>
        <v>17652</v>
      </c>
      <c r="M24" s="161">
        <f t="shared" si="6"/>
        <v>18484</v>
      </c>
      <c r="N24" s="161">
        <f t="shared" si="6"/>
        <v>36444</v>
      </c>
      <c r="O24" s="161">
        <f t="shared" si="6"/>
        <v>49831</v>
      </c>
      <c r="P24" s="161">
        <f t="shared" si="6"/>
        <v>50530</v>
      </c>
      <c r="Q24" s="161">
        <f t="shared" si="6"/>
        <v>65762</v>
      </c>
      <c r="R24" s="161">
        <f t="shared" si="6"/>
        <v>66658</v>
      </c>
      <c r="S24" s="161">
        <f t="shared" si="6"/>
        <v>66681</v>
      </c>
      <c r="T24" s="161">
        <f t="shared" si="6"/>
        <v>71262</v>
      </c>
      <c r="U24" s="161">
        <f t="shared" si="6"/>
        <v>71829</v>
      </c>
      <c r="V24" s="161">
        <f t="shared" si="6"/>
        <v>60918</v>
      </c>
      <c r="W24" s="161">
        <f t="shared" si="6"/>
        <v>61624</v>
      </c>
      <c r="X24" s="161">
        <f t="shared" si="6"/>
        <v>55621</v>
      </c>
      <c r="Y24" s="161">
        <f t="shared" si="6"/>
        <v>48620</v>
      </c>
      <c r="Z24" s="161">
        <f t="shared" si="6"/>
        <v>51815</v>
      </c>
      <c r="AA24" s="161">
        <f t="shared" si="6"/>
        <v>51500</v>
      </c>
      <c r="AB24" s="161">
        <f t="shared" si="6"/>
        <v>51507</v>
      </c>
      <c r="AC24" s="161">
        <f t="shared" si="6"/>
        <v>56114</v>
      </c>
      <c r="AD24" s="161">
        <f t="shared" si="6"/>
        <v>61191</v>
      </c>
      <c r="AE24" s="161">
        <f t="shared" si="6"/>
        <v>55795</v>
      </c>
      <c r="AF24" s="161">
        <f t="shared" si="6"/>
        <v>48282</v>
      </c>
      <c r="AG24" s="161">
        <f t="shared" si="6"/>
        <v>51616</v>
      </c>
      <c r="AH24" s="161">
        <f t="shared" si="6"/>
        <v>48284</v>
      </c>
      <c r="AI24" s="161">
        <f t="shared" si="6"/>
        <v>50632</v>
      </c>
      <c r="AJ24" s="161">
        <f t="shared" si="6"/>
        <v>54017</v>
      </c>
      <c r="AK24" s="161">
        <f t="shared" si="6"/>
        <v>55480</v>
      </c>
      <c r="AL24" s="161">
        <f t="shared" si="6"/>
        <v>51374</v>
      </c>
      <c r="AM24" s="161">
        <f t="shared" si="6"/>
        <v>49920</v>
      </c>
      <c r="AN24" s="161">
        <f t="shared" si="6"/>
        <v>64577</v>
      </c>
      <c r="AO24" s="161">
        <f>SUM(AO25:AO31)</f>
        <v>58850</v>
      </c>
      <c r="AP24" s="376">
        <f>SUM(AP25:AP31)</f>
        <v>63453</v>
      </c>
      <c r="AQ24" s="376">
        <f>SUM(AQ25:AQ31)</f>
        <v>69636</v>
      </c>
      <c r="AR24" s="376">
        <f>SUM(AR25:AR31)</f>
        <v>70051.982999999993</v>
      </c>
      <c r="AS24" s="377">
        <f>SUM(AS25:AS31)</f>
        <v>67935</v>
      </c>
      <c r="AT24" s="718"/>
    </row>
    <row r="25" spans="1:46" s="164" customFormat="1" ht="15" customHeight="1" x14ac:dyDescent="0.2">
      <c r="A25" s="172" t="s">
        <v>219</v>
      </c>
      <c r="B25" s="165">
        <v>569</v>
      </c>
      <c r="C25" s="165">
        <v>394</v>
      </c>
      <c r="D25" s="165">
        <v>438</v>
      </c>
      <c r="E25" s="165">
        <v>36</v>
      </c>
      <c r="F25" s="165">
        <v>744</v>
      </c>
      <c r="G25" s="165">
        <v>954</v>
      </c>
      <c r="H25" s="166">
        <v>956</v>
      </c>
      <c r="I25" s="141">
        <v>71</v>
      </c>
      <c r="J25" s="166">
        <v>448</v>
      </c>
      <c r="K25" s="166">
        <v>826</v>
      </c>
      <c r="L25" s="166">
        <v>848</v>
      </c>
      <c r="M25" s="166">
        <v>50</v>
      </c>
      <c r="N25" s="166">
        <v>479</v>
      </c>
      <c r="O25" s="166">
        <v>853</v>
      </c>
      <c r="P25" s="166">
        <v>855</v>
      </c>
      <c r="Q25" s="166">
        <v>52</v>
      </c>
      <c r="R25" s="166">
        <v>436</v>
      </c>
      <c r="S25" s="166">
        <v>942</v>
      </c>
      <c r="T25" s="166">
        <v>976</v>
      </c>
      <c r="U25" s="166">
        <v>33</v>
      </c>
      <c r="V25" s="166">
        <v>951</v>
      </c>
      <c r="W25" s="166">
        <v>644</v>
      </c>
      <c r="X25" s="166">
        <v>768</v>
      </c>
      <c r="Y25" s="166">
        <v>28</v>
      </c>
      <c r="Z25" s="166">
        <v>911</v>
      </c>
      <c r="AA25" s="166">
        <v>609</v>
      </c>
      <c r="AB25" s="166">
        <v>1336</v>
      </c>
      <c r="AC25" s="166">
        <v>14</v>
      </c>
      <c r="AD25" s="166">
        <v>1576</v>
      </c>
      <c r="AE25" s="166">
        <v>1558</v>
      </c>
      <c r="AF25" s="166">
        <v>898</v>
      </c>
      <c r="AG25" s="166">
        <v>63</v>
      </c>
      <c r="AH25" s="166">
        <v>714</v>
      </c>
      <c r="AI25" s="166">
        <v>997</v>
      </c>
      <c r="AJ25" s="166">
        <v>1016</v>
      </c>
      <c r="AK25" s="166">
        <v>0</v>
      </c>
      <c r="AL25" s="166">
        <v>694</v>
      </c>
      <c r="AM25" s="166">
        <v>971</v>
      </c>
      <c r="AN25" s="166">
        <v>1210</v>
      </c>
      <c r="AO25" s="166">
        <v>13</v>
      </c>
      <c r="AP25" s="373">
        <v>959</v>
      </c>
      <c r="AQ25" s="373">
        <v>1275</v>
      </c>
      <c r="AR25" s="373">
        <v>0</v>
      </c>
      <c r="AS25" s="374">
        <v>0</v>
      </c>
      <c r="AT25" s="718"/>
    </row>
    <row r="26" spans="1:46" s="164" customFormat="1" ht="15" customHeight="1" x14ac:dyDescent="0.2">
      <c r="A26" s="169" t="s">
        <v>220</v>
      </c>
      <c r="B26" s="165"/>
      <c r="C26" s="165"/>
      <c r="D26" s="165"/>
      <c r="E26" s="165"/>
      <c r="F26" s="165"/>
      <c r="G26" s="165"/>
      <c r="H26" s="166"/>
      <c r="I26" s="141"/>
      <c r="J26" s="166"/>
      <c r="K26" s="166"/>
      <c r="L26" s="166"/>
      <c r="M26" s="166"/>
      <c r="N26" s="166"/>
      <c r="O26" s="166"/>
      <c r="P26" s="166"/>
      <c r="Q26" s="166"/>
      <c r="R26" s="166"/>
      <c r="S26" s="166"/>
      <c r="T26" s="166"/>
      <c r="U26" s="166"/>
      <c r="V26" s="166"/>
      <c r="W26" s="166"/>
      <c r="X26" s="166"/>
      <c r="Y26" s="166"/>
      <c r="Z26" s="166"/>
      <c r="AA26" s="166"/>
      <c r="AB26" s="166"/>
      <c r="AC26" s="166"/>
      <c r="AD26" s="166"/>
      <c r="AE26" s="166"/>
      <c r="AF26" s="166"/>
      <c r="AG26" s="166"/>
      <c r="AH26" s="166"/>
      <c r="AI26" s="166"/>
      <c r="AJ26" s="166"/>
      <c r="AK26" s="166"/>
      <c r="AL26" s="166"/>
      <c r="AM26" s="166"/>
      <c r="AN26" s="166"/>
      <c r="AO26" s="166"/>
      <c r="AP26" s="373"/>
      <c r="AQ26" s="373"/>
      <c r="AR26" s="373"/>
      <c r="AS26" s="374"/>
      <c r="AT26" s="718"/>
    </row>
    <row r="27" spans="1:46" s="164" customFormat="1" ht="15" customHeight="1" x14ac:dyDescent="0.2">
      <c r="A27" s="139" t="s">
        <v>221</v>
      </c>
      <c r="B27" s="165">
        <v>18544</v>
      </c>
      <c r="C27" s="165">
        <v>19277</v>
      </c>
      <c r="D27" s="165">
        <v>19989</v>
      </c>
      <c r="E27" s="165">
        <v>23539</v>
      </c>
      <c r="F27" s="165">
        <v>23216</v>
      </c>
      <c r="G27" s="165">
        <v>24580</v>
      </c>
      <c r="H27" s="166">
        <v>25541</v>
      </c>
      <c r="I27" s="141">
        <v>13201</v>
      </c>
      <c r="J27" s="166">
        <v>14732</v>
      </c>
      <c r="K27" s="166">
        <v>15240</v>
      </c>
      <c r="L27" s="166">
        <v>16273</v>
      </c>
      <c r="M27" s="166">
        <v>17924</v>
      </c>
      <c r="N27" s="166">
        <v>35425</v>
      </c>
      <c r="O27" s="166">
        <v>48404</v>
      </c>
      <c r="P27" s="166">
        <v>49098</v>
      </c>
      <c r="Q27" s="166">
        <v>65197</v>
      </c>
      <c r="R27" s="166">
        <v>65677</v>
      </c>
      <c r="S27" s="166">
        <v>65163</v>
      </c>
      <c r="T27" s="166">
        <v>69708</v>
      </c>
      <c r="U27" s="166">
        <v>71211</v>
      </c>
      <c r="V27" s="166">
        <v>59379</v>
      </c>
      <c r="W27" s="166">
        <v>60369</v>
      </c>
      <c r="X27" s="166">
        <v>54222</v>
      </c>
      <c r="Y27" s="166">
        <v>47952</v>
      </c>
      <c r="Z27" s="166">
        <v>50265</v>
      </c>
      <c r="AA27" s="166">
        <v>50247</v>
      </c>
      <c r="AB27" s="166">
        <v>49472</v>
      </c>
      <c r="AC27" s="166">
        <v>55381</v>
      </c>
      <c r="AD27" s="166">
        <v>58919</v>
      </c>
      <c r="AE27" s="166">
        <v>53502</v>
      </c>
      <c r="AF27" s="166">
        <v>46713</v>
      </c>
      <c r="AG27" s="166">
        <v>50925</v>
      </c>
      <c r="AH27" s="166">
        <v>46889</v>
      </c>
      <c r="AI27" s="166">
        <v>48913</v>
      </c>
      <c r="AJ27" s="166">
        <v>52269</v>
      </c>
      <c r="AK27" s="166">
        <v>54792</v>
      </c>
      <c r="AL27" s="166">
        <v>49920</v>
      </c>
      <c r="AM27" s="166">
        <v>48164</v>
      </c>
      <c r="AN27" s="166">
        <v>62570</v>
      </c>
      <c r="AO27" s="166">
        <v>58051</v>
      </c>
      <c r="AP27" s="373">
        <v>61637</v>
      </c>
      <c r="AQ27" s="373">
        <v>67472</v>
      </c>
      <c r="AR27" s="373">
        <v>69174.945999999996</v>
      </c>
      <c r="AS27" s="374">
        <v>66714</v>
      </c>
      <c r="AT27" s="718"/>
    </row>
    <row r="28" spans="1:46" s="164" customFormat="1" ht="15" customHeight="1" x14ac:dyDescent="0.2">
      <c r="A28" s="139" t="s">
        <v>222</v>
      </c>
      <c r="B28" s="165">
        <v>1</v>
      </c>
      <c r="C28" s="165">
        <v>1</v>
      </c>
      <c r="D28" s="165">
        <v>1</v>
      </c>
      <c r="E28" s="165">
        <v>1</v>
      </c>
      <c r="F28" s="165">
        <v>1</v>
      </c>
      <c r="G28" s="165">
        <v>1</v>
      </c>
      <c r="H28" s="166">
        <v>1</v>
      </c>
      <c r="I28" s="141">
        <v>1</v>
      </c>
      <c r="J28" s="166">
        <v>1</v>
      </c>
      <c r="K28" s="166">
        <v>1</v>
      </c>
      <c r="L28" s="166">
        <v>1</v>
      </c>
      <c r="M28" s="166">
        <v>1</v>
      </c>
      <c r="N28" s="166">
        <v>1</v>
      </c>
      <c r="O28" s="166">
        <v>1</v>
      </c>
      <c r="P28" s="166">
        <v>1</v>
      </c>
      <c r="Q28" s="166">
        <v>1</v>
      </c>
      <c r="R28" s="166">
        <v>1</v>
      </c>
      <c r="S28" s="166">
        <v>1</v>
      </c>
      <c r="T28" s="166">
        <v>1</v>
      </c>
      <c r="U28" s="166">
        <v>1</v>
      </c>
      <c r="V28" s="166">
        <v>1</v>
      </c>
      <c r="W28" s="166">
        <v>1</v>
      </c>
      <c r="X28" s="166">
        <v>1</v>
      </c>
      <c r="Y28" s="166">
        <v>1</v>
      </c>
      <c r="Z28" s="166">
        <v>1</v>
      </c>
      <c r="AA28" s="166">
        <v>1</v>
      </c>
      <c r="AB28" s="166">
        <v>1</v>
      </c>
      <c r="AC28" s="166">
        <v>0</v>
      </c>
      <c r="AD28" s="166">
        <v>0</v>
      </c>
      <c r="AE28" s="166">
        <v>0</v>
      </c>
      <c r="AF28" s="166">
        <v>0</v>
      </c>
      <c r="AG28" s="166">
        <v>0</v>
      </c>
      <c r="AH28" s="166">
        <v>0</v>
      </c>
      <c r="AI28" s="166">
        <v>0</v>
      </c>
      <c r="AJ28" s="166">
        <v>0</v>
      </c>
      <c r="AK28" s="166">
        <v>0</v>
      </c>
      <c r="AL28" s="166">
        <v>0</v>
      </c>
      <c r="AM28" s="166">
        <v>0</v>
      </c>
      <c r="AN28" s="166">
        <v>0</v>
      </c>
      <c r="AO28" s="166">
        <v>0</v>
      </c>
      <c r="AP28" s="373">
        <v>0</v>
      </c>
      <c r="AQ28" s="373">
        <v>0</v>
      </c>
      <c r="AR28" s="373">
        <v>0</v>
      </c>
      <c r="AS28" s="374">
        <v>0</v>
      </c>
      <c r="AT28" s="718"/>
    </row>
    <row r="29" spans="1:46" s="164" customFormat="1" ht="15" customHeight="1" x14ac:dyDescent="0.2">
      <c r="A29" s="139" t="s">
        <v>223</v>
      </c>
      <c r="B29" s="165">
        <v>407</v>
      </c>
      <c r="C29" s="165">
        <v>413</v>
      </c>
      <c r="D29" s="165">
        <v>413</v>
      </c>
      <c r="E29" s="165">
        <v>453</v>
      </c>
      <c r="F29" s="165">
        <v>457</v>
      </c>
      <c r="G29" s="165">
        <v>459</v>
      </c>
      <c r="H29" s="166">
        <v>462</v>
      </c>
      <c r="I29" s="141">
        <v>466</v>
      </c>
      <c r="J29" s="166">
        <v>469</v>
      </c>
      <c r="K29" s="166">
        <v>473</v>
      </c>
      <c r="L29" s="166">
        <v>474</v>
      </c>
      <c r="M29" s="166">
        <v>490</v>
      </c>
      <c r="N29" s="166">
        <v>492</v>
      </c>
      <c r="O29" s="166">
        <v>493</v>
      </c>
      <c r="P29" s="166">
        <v>496</v>
      </c>
      <c r="Q29" s="166">
        <v>508</v>
      </c>
      <c r="R29" s="166">
        <v>511</v>
      </c>
      <c r="S29" s="166">
        <v>517</v>
      </c>
      <c r="T29" s="166">
        <v>523</v>
      </c>
      <c r="U29" s="166">
        <v>532</v>
      </c>
      <c r="V29" s="166">
        <v>540</v>
      </c>
      <c r="W29" s="166">
        <v>547</v>
      </c>
      <c r="X29" s="166">
        <v>551</v>
      </c>
      <c r="Y29" s="166">
        <v>561</v>
      </c>
      <c r="Z29" s="166">
        <v>572</v>
      </c>
      <c r="AA29" s="166">
        <v>572</v>
      </c>
      <c r="AB29" s="166">
        <v>580</v>
      </c>
      <c r="AC29" s="166">
        <v>587</v>
      </c>
      <c r="AD29" s="166">
        <v>598</v>
      </c>
      <c r="AE29" s="166">
        <v>604</v>
      </c>
      <c r="AF29" s="166">
        <v>614</v>
      </c>
      <c r="AG29" s="166">
        <v>622</v>
      </c>
      <c r="AH29" s="166">
        <v>630</v>
      </c>
      <c r="AI29" s="166">
        <v>635</v>
      </c>
      <c r="AJ29" s="166">
        <v>655</v>
      </c>
      <c r="AK29" s="166">
        <v>686</v>
      </c>
      <c r="AL29" s="166">
        <v>710</v>
      </c>
      <c r="AM29" s="166">
        <v>721</v>
      </c>
      <c r="AN29" s="166">
        <v>733</v>
      </c>
      <c r="AO29" s="166">
        <v>778</v>
      </c>
      <c r="AP29" s="373">
        <f>17+792</f>
        <v>809</v>
      </c>
      <c r="AQ29" s="373">
        <v>826</v>
      </c>
      <c r="AR29" s="373">
        <f>19.393+812.644</f>
        <v>832.03700000000003</v>
      </c>
      <c r="AS29" s="374">
        <f>22+1196</f>
        <v>1218</v>
      </c>
      <c r="AT29" s="718"/>
    </row>
    <row r="30" spans="1:46" s="164" customFormat="1" ht="15" customHeight="1" x14ac:dyDescent="0.2">
      <c r="A30" s="172" t="s">
        <v>224</v>
      </c>
      <c r="B30" s="165">
        <v>3</v>
      </c>
      <c r="C30" s="165">
        <v>3</v>
      </c>
      <c r="D30" s="165">
        <v>0</v>
      </c>
      <c r="E30" s="165">
        <v>0</v>
      </c>
      <c r="F30" s="165">
        <v>0</v>
      </c>
      <c r="G30" s="165">
        <v>0</v>
      </c>
      <c r="H30" s="166">
        <v>0</v>
      </c>
      <c r="I30" s="141">
        <v>0</v>
      </c>
      <c r="J30" s="166">
        <v>0</v>
      </c>
      <c r="K30" s="166">
        <v>0</v>
      </c>
      <c r="L30" s="166">
        <v>0</v>
      </c>
      <c r="M30" s="166">
        <v>0</v>
      </c>
      <c r="N30" s="166">
        <v>0</v>
      </c>
      <c r="O30" s="166">
        <v>0</v>
      </c>
      <c r="P30" s="166">
        <v>0</v>
      </c>
      <c r="Q30" s="166">
        <v>0</v>
      </c>
      <c r="R30" s="166">
        <v>0</v>
      </c>
      <c r="S30" s="166">
        <v>0</v>
      </c>
      <c r="T30" s="166">
        <v>0</v>
      </c>
      <c r="U30" s="166">
        <v>0</v>
      </c>
      <c r="V30" s="166">
        <v>0</v>
      </c>
      <c r="W30" s="166">
        <v>0</v>
      </c>
      <c r="X30" s="166">
        <v>0</v>
      </c>
      <c r="Y30" s="166">
        <v>0</v>
      </c>
      <c r="Z30" s="166">
        <v>0</v>
      </c>
      <c r="AA30" s="166">
        <v>0</v>
      </c>
      <c r="AB30" s="166">
        <v>0</v>
      </c>
      <c r="AC30" s="166">
        <v>0</v>
      </c>
      <c r="AD30" s="166">
        <v>0</v>
      </c>
      <c r="AE30" s="166">
        <v>0</v>
      </c>
      <c r="AF30" s="166">
        <v>0</v>
      </c>
      <c r="AG30" s="166">
        <v>0</v>
      </c>
      <c r="AH30" s="166">
        <v>0</v>
      </c>
      <c r="AI30" s="166">
        <v>0</v>
      </c>
      <c r="AJ30" s="166">
        <v>0</v>
      </c>
      <c r="AK30" s="166">
        <v>0</v>
      </c>
      <c r="AL30" s="166">
        <v>0</v>
      </c>
      <c r="AM30" s="166">
        <v>0</v>
      </c>
      <c r="AN30" s="166">
        <v>0</v>
      </c>
      <c r="AO30" s="166">
        <v>0</v>
      </c>
      <c r="AP30" s="373">
        <v>0</v>
      </c>
      <c r="AQ30" s="373">
        <v>0</v>
      </c>
      <c r="AR30" s="373">
        <v>0</v>
      </c>
      <c r="AS30" s="374">
        <v>0</v>
      </c>
      <c r="AT30" s="718"/>
    </row>
    <row r="31" spans="1:46" s="164" customFormat="1" ht="15" customHeight="1" x14ac:dyDescent="0.2">
      <c r="A31" s="172" t="s">
        <v>225</v>
      </c>
      <c r="B31" s="165">
        <v>43</v>
      </c>
      <c r="C31" s="165">
        <v>30</v>
      </c>
      <c r="D31" s="165">
        <v>37</v>
      </c>
      <c r="E31" s="165">
        <v>8</v>
      </c>
      <c r="F31" s="165">
        <v>51</v>
      </c>
      <c r="G31" s="165">
        <v>78</v>
      </c>
      <c r="H31" s="166">
        <v>26</v>
      </c>
      <c r="I31" s="141">
        <v>9</v>
      </c>
      <c r="J31" s="166">
        <v>26</v>
      </c>
      <c r="K31" s="166">
        <v>57</v>
      </c>
      <c r="L31" s="166">
        <v>56</v>
      </c>
      <c r="M31" s="166">
        <v>19</v>
      </c>
      <c r="N31" s="166">
        <v>47</v>
      </c>
      <c r="O31" s="166">
        <v>80</v>
      </c>
      <c r="P31" s="166">
        <v>80</v>
      </c>
      <c r="Q31" s="166">
        <v>4</v>
      </c>
      <c r="R31" s="166">
        <v>33</v>
      </c>
      <c r="S31" s="166">
        <v>58</v>
      </c>
      <c r="T31" s="166">
        <v>54</v>
      </c>
      <c r="U31" s="166">
        <v>52</v>
      </c>
      <c r="V31" s="166">
        <v>47</v>
      </c>
      <c r="W31" s="166">
        <v>63</v>
      </c>
      <c r="X31" s="166">
        <v>79</v>
      </c>
      <c r="Y31" s="166">
        <v>78</v>
      </c>
      <c r="Z31" s="166">
        <v>66</v>
      </c>
      <c r="AA31" s="166">
        <v>71</v>
      </c>
      <c r="AB31" s="166">
        <v>118</v>
      </c>
      <c r="AC31" s="166">
        <v>132</v>
      </c>
      <c r="AD31" s="166">
        <v>98</v>
      </c>
      <c r="AE31" s="166">
        <v>131</v>
      </c>
      <c r="AF31" s="166">
        <v>57</v>
      </c>
      <c r="AG31" s="166">
        <v>6</v>
      </c>
      <c r="AH31" s="166">
        <v>51</v>
      </c>
      <c r="AI31" s="166">
        <v>87</v>
      </c>
      <c r="AJ31" s="166">
        <v>77</v>
      </c>
      <c r="AK31" s="166">
        <v>2</v>
      </c>
      <c r="AL31" s="166">
        <v>50</v>
      </c>
      <c r="AM31" s="166">
        <v>64</v>
      </c>
      <c r="AN31" s="166">
        <v>64</v>
      </c>
      <c r="AO31" s="166">
        <v>8</v>
      </c>
      <c r="AP31" s="373">
        <v>48</v>
      </c>
      <c r="AQ31" s="373">
        <v>63</v>
      </c>
      <c r="AR31" s="373">
        <v>45</v>
      </c>
      <c r="AS31" s="374">
        <v>3</v>
      </c>
      <c r="AT31" s="718"/>
    </row>
    <row r="32" spans="1:46" s="164" customFormat="1" ht="15" customHeight="1" x14ac:dyDescent="0.2">
      <c r="A32" s="173" t="s">
        <v>226</v>
      </c>
      <c r="B32" s="161">
        <f t="shared" ref="B32:AN32" si="7">SUM(B33:B33)</f>
        <v>73</v>
      </c>
      <c r="C32" s="161">
        <f t="shared" si="7"/>
        <v>139</v>
      </c>
      <c r="D32" s="161">
        <f t="shared" si="7"/>
        <v>90</v>
      </c>
      <c r="E32" s="161">
        <f t="shared" si="7"/>
        <v>429</v>
      </c>
      <c r="F32" s="161">
        <f t="shared" si="7"/>
        <v>146</v>
      </c>
      <c r="G32" s="161">
        <f t="shared" si="7"/>
        <v>91</v>
      </c>
      <c r="H32" s="161">
        <f t="shared" si="7"/>
        <v>96</v>
      </c>
      <c r="I32" s="161">
        <f t="shared" si="7"/>
        <v>56</v>
      </c>
      <c r="J32" s="161">
        <f t="shared" si="7"/>
        <v>15</v>
      </c>
      <c r="K32" s="161">
        <f t="shared" si="7"/>
        <v>23</v>
      </c>
      <c r="L32" s="161">
        <f t="shared" si="7"/>
        <v>66</v>
      </c>
      <c r="M32" s="161">
        <f t="shared" si="7"/>
        <v>240</v>
      </c>
      <c r="N32" s="161">
        <f t="shared" si="7"/>
        <v>230</v>
      </c>
      <c r="O32" s="161">
        <f t="shared" si="7"/>
        <v>596</v>
      </c>
      <c r="P32" s="161">
        <f t="shared" si="7"/>
        <v>251</v>
      </c>
      <c r="Q32" s="161">
        <f t="shared" si="7"/>
        <v>564</v>
      </c>
      <c r="R32" s="161">
        <f t="shared" si="7"/>
        <v>634</v>
      </c>
      <c r="S32" s="161">
        <f t="shared" si="7"/>
        <v>352</v>
      </c>
      <c r="T32" s="161">
        <f t="shared" si="7"/>
        <v>689</v>
      </c>
      <c r="U32" s="161">
        <f t="shared" si="7"/>
        <v>1077</v>
      </c>
      <c r="V32" s="161">
        <f t="shared" si="7"/>
        <v>658</v>
      </c>
      <c r="W32" s="161">
        <f t="shared" si="7"/>
        <v>886</v>
      </c>
      <c r="X32" s="161">
        <f t="shared" si="7"/>
        <v>655</v>
      </c>
      <c r="Y32" s="161">
        <f t="shared" si="7"/>
        <v>1142</v>
      </c>
      <c r="Z32" s="161">
        <f t="shared" si="7"/>
        <v>954</v>
      </c>
      <c r="AA32" s="161">
        <f t="shared" si="7"/>
        <v>650</v>
      </c>
      <c r="AB32" s="161">
        <f t="shared" si="7"/>
        <v>614</v>
      </c>
      <c r="AC32" s="161">
        <f t="shared" si="7"/>
        <v>881</v>
      </c>
      <c r="AD32" s="161">
        <f t="shared" si="7"/>
        <v>549</v>
      </c>
      <c r="AE32" s="161">
        <f t="shared" si="7"/>
        <v>320</v>
      </c>
      <c r="AF32" s="161">
        <f t="shared" si="7"/>
        <v>258</v>
      </c>
      <c r="AG32" s="161">
        <f t="shared" si="7"/>
        <v>388</v>
      </c>
      <c r="AH32" s="161">
        <f t="shared" si="7"/>
        <v>180</v>
      </c>
      <c r="AI32" s="161">
        <f t="shared" si="7"/>
        <v>168</v>
      </c>
      <c r="AJ32" s="161">
        <f t="shared" si="7"/>
        <v>162</v>
      </c>
      <c r="AK32" s="161">
        <f t="shared" si="7"/>
        <v>248</v>
      </c>
      <c r="AL32" s="161">
        <f t="shared" si="7"/>
        <v>100</v>
      </c>
      <c r="AM32" s="161">
        <f t="shared" si="7"/>
        <v>102</v>
      </c>
      <c r="AN32" s="161">
        <f t="shared" si="7"/>
        <v>144</v>
      </c>
      <c r="AO32" s="161">
        <f t="shared" ref="AO32:AS32" si="8">SUM(AO33:AO33)</f>
        <v>157</v>
      </c>
      <c r="AP32" s="376">
        <f t="shared" si="8"/>
        <v>142</v>
      </c>
      <c r="AQ32" s="376">
        <f t="shared" si="8"/>
        <v>111</v>
      </c>
      <c r="AR32" s="376">
        <f t="shared" si="8"/>
        <v>100</v>
      </c>
      <c r="AS32" s="377">
        <f t="shared" si="8"/>
        <v>263</v>
      </c>
      <c r="AT32" s="718"/>
    </row>
    <row r="33" spans="1:46" s="164" customFormat="1" ht="15" customHeight="1" x14ac:dyDescent="0.2">
      <c r="A33" s="172" t="s">
        <v>227</v>
      </c>
      <c r="B33" s="165">
        <v>73</v>
      </c>
      <c r="C33" s="165">
        <v>139</v>
      </c>
      <c r="D33" s="165">
        <v>90</v>
      </c>
      <c r="E33" s="165">
        <v>429</v>
      </c>
      <c r="F33" s="165">
        <v>146</v>
      </c>
      <c r="G33" s="165">
        <v>91</v>
      </c>
      <c r="H33" s="166">
        <v>96</v>
      </c>
      <c r="I33" s="141">
        <v>56</v>
      </c>
      <c r="J33" s="166">
        <v>15</v>
      </c>
      <c r="K33" s="166">
        <v>23</v>
      </c>
      <c r="L33" s="166">
        <v>66</v>
      </c>
      <c r="M33" s="166">
        <v>240</v>
      </c>
      <c r="N33" s="166">
        <v>230</v>
      </c>
      <c r="O33" s="166">
        <v>596</v>
      </c>
      <c r="P33" s="166">
        <v>251</v>
      </c>
      <c r="Q33" s="166">
        <v>564</v>
      </c>
      <c r="R33" s="166">
        <v>634</v>
      </c>
      <c r="S33" s="166">
        <v>352</v>
      </c>
      <c r="T33" s="166">
        <v>689</v>
      </c>
      <c r="U33" s="166">
        <v>1077</v>
      </c>
      <c r="V33" s="166">
        <v>658</v>
      </c>
      <c r="W33" s="166">
        <v>886</v>
      </c>
      <c r="X33" s="166">
        <v>655</v>
      </c>
      <c r="Y33" s="166">
        <v>1142</v>
      </c>
      <c r="Z33" s="166">
        <v>954</v>
      </c>
      <c r="AA33" s="166">
        <v>650</v>
      </c>
      <c r="AB33" s="166">
        <v>614</v>
      </c>
      <c r="AC33" s="166">
        <v>881</v>
      </c>
      <c r="AD33" s="166">
        <v>549</v>
      </c>
      <c r="AE33" s="166">
        <v>320</v>
      </c>
      <c r="AF33" s="166">
        <v>258</v>
      </c>
      <c r="AG33" s="166">
        <v>388</v>
      </c>
      <c r="AH33" s="166">
        <v>180</v>
      </c>
      <c r="AI33" s="168">
        <v>168</v>
      </c>
      <c r="AJ33" s="168">
        <v>162</v>
      </c>
      <c r="AK33" s="166">
        <v>248</v>
      </c>
      <c r="AL33" s="166">
        <v>100</v>
      </c>
      <c r="AM33" s="166">
        <v>102</v>
      </c>
      <c r="AN33" s="166">
        <v>144</v>
      </c>
      <c r="AO33" s="166">
        <v>157</v>
      </c>
      <c r="AP33" s="373">
        <v>142</v>
      </c>
      <c r="AQ33" s="373">
        <v>111</v>
      </c>
      <c r="AR33" s="373">
        <v>100</v>
      </c>
      <c r="AS33" s="374">
        <v>263</v>
      </c>
      <c r="AT33" s="718"/>
    </row>
    <row r="34" spans="1:46" s="164" customFormat="1" ht="15" customHeight="1" x14ac:dyDescent="0.2">
      <c r="A34" s="173" t="s">
        <v>228</v>
      </c>
      <c r="B34" s="161">
        <f t="shared" ref="B34:AN34" si="9">SUM(B36:B39)</f>
        <v>84498</v>
      </c>
      <c r="C34" s="161">
        <f t="shared" si="9"/>
        <v>90009</v>
      </c>
      <c r="D34" s="161">
        <f t="shared" si="9"/>
        <v>96194</v>
      </c>
      <c r="E34" s="161">
        <f t="shared" si="9"/>
        <v>108296</v>
      </c>
      <c r="F34" s="161">
        <f t="shared" si="9"/>
        <v>112271</v>
      </c>
      <c r="G34" s="161">
        <f t="shared" si="9"/>
        <v>117221</v>
      </c>
      <c r="H34" s="161">
        <f t="shared" si="9"/>
        <v>125674</v>
      </c>
      <c r="I34" s="161">
        <f t="shared" si="9"/>
        <v>130726</v>
      </c>
      <c r="J34" s="161">
        <f t="shared" si="9"/>
        <v>129389</v>
      </c>
      <c r="K34" s="161">
        <f t="shared" si="9"/>
        <v>125718</v>
      </c>
      <c r="L34" s="161">
        <f t="shared" si="9"/>
        <v>128705</v>
      </c>
      <c r="M34" s="161">
        <f t="shared" si="9"/>
        <v>137744</v>
      </c>
      <c r="N34" s="161">
        <f t="shared" si="9"/>
        <v>147828</v>
      </c>
      <c r="O34" s="161">
        <f t="shared" si="9"/>
        <v>158867</v>
      </c>
      <c r="P34" s="161">
        <f t="shared" si="9"/>
        <v>168721</v>
      </c>
      <c r="Q34" s="161">
        <f t="shared" si="9"/>
        <v>182964</v>
      </c>
      <c r="R34" s="161">
        <f t="shared" si="9"/>
        <v>192622</v>
      </c>
      <c r="S34" s="161">
        <f t="shared" si="9"/>
        <v>202688</v>
      </c>
      <c r="T34" s="161">
        <f t="shared" si="9"/>
        <v>211864</v>
      </c>
      <c r="U34" s="161">
        <f t="shared" si="9"/>
        <v>219365</v>
      </c>
      <c r="V34" s="161">
        <f t="shared" si="9"/>
        <v>221209</v>
      </c>
      <c r="W34" s="161">
        <f t="shared" si="9"/>
        <v>229571</v>
      </c>
      <c r="X34" s="161">
        <f t="shared" si="9"/>
        <v>234655</v>
      </c>
      <c r="Y34" s="161">
        <f t="shared" si="9"/>
        <v>240193</v>
      </c>
      <c r="Z34" s="161">
        <f t="shared" si="9"/>
        <v>248855</v>
      </c>
      <c r="AA34" s="161">
        <f t="shared" si="9"/>
        <v>255343</v>
      </c>
      <c r="AB34" s="161">
        <f t="shared" si="9"/>
        <v>260754</v>
      </c>
      <c r="AC34" s="161">
        <f t="shared" si="9"/>
        <v>270855</v>
      </c>
      <c r="AD34" s="161">
        <f t="shared" si="9"/>
        <v>276831</v>
      </c>
      <c r="AE34" s="161">
        <f t="shared" si="9"/>
        <v>277070</v>
      </c>
      <c r="AF34" s="161">
        <f t="shared" si="9"/>
        <v>283528</v>
      </c>
      <c r="AG34" s="161">
        <f t="shared" si="9"/>
        <v>292340</v>
      </c>
      <c r="AH34" s="161">
        <f t="shared" si="9"/>
        <v>298578</v>
      </c>
      <c r="AI34" s="161">
        <f t="shared" si="9"/>
        <v>300358</v>
      </c>
      <c r="AJ34" s="161">
        <f t="shared" si="9"/>
        <v>306587</v>
      </c>
      <c r="AK34" s="161">
        <f t="shared" si="9"/>
        <v>303372</v>
      </c>
      <c r="AL34" s="161">
        <f t="shared" si="9"/>
        <v>289262</v>
      </c>
      <c r="AM34" s="161">
        <f t="shared" si="9"/>
        <v>277825</v>
      </c>
      <c r="AN34" s="161">
        <f t="shared" si="9"/>
        <v>317593</v>
      </c>
      <c r="AO34" s="161">
        <f>SUM(AO36:AO39)</f>
        <v>310396</v>
      </c>
      <c r="AP34" s="376">
        <f>SUM(AP36:AP39)</f>
        <v>300452</v>
      </c>
      <c r="AQ34" s="376">
        <f>SUM(AQ36:AQ39)</f>
        <v>296414</v>
      </c>
      <c r="AR34" s="376">
        <f>SUM(AR36:AR39)</f>
        <v>290761.98700000002</v>
      </c>
      <c r="AS34" s="377">
        <f>SUM(AS36:AS39)</f>
        <v>287654</v>
      </c>
      <c r="AT34" s="718"/>
    </row>
    <row r="35" spans="1:46" s="164" customFormat="1" ht="15" customHeight="1" x14ac:dyDescent="0.2">
      <c r="A35" s="169" t="s">
        <v>229</v>
      </c>
      <c r="B35" s="165"/>
      <c r="C35" s="165"/>
      <c r="D35" s="165"/>
      <c r="E35" s="165"/>
      <c r="F35" s="165"/>
      <c r="G35" s="165"/>
      <c r="H35" s="170"/>
      <c r="I35" s="171"/>
      <c r="J35" s="170"/>
      <c r="K35" s="170"/>
      <c r="L35" s="170"/>
      <c r="M35" s="170"/>
      <c r="N35" s="170"/>
      <c r="O35" s="170"/>
      <c r="P35" s="170"/>
      <c r="Q35" s="170"/>
      <c r="R35" s="170"/>
      <c r="S35" s="170"/>
      <c r="T35" s="170"/>
      <c r="U35" s="170"/>
      <c r="V35" s="170"/>
      <c r="W35" s="170"/>
      <c r="X35" s="170"/>
      <c r="Y35" s="170"/>
      <c r="Z35" s="170"/>
      <c r="AA35" s="170"/>
      <c r="AB35" s="170"/>
      <c r="AC35" s="170"/>
      <c r="AD35" s="170"/>
      <c r="AE35" s="170"/>
      <c r="AF35" s="170"/>
      <c r="AG35" s="170"/>
      <c r="AH35" s="170"/>
      <c r="AI35" s="170"/>
      <c r="AJ35" s="170"/>
      <c r="AK35" s="170"/>
      <c r="AL35" s="170"/>
      <c r="AM35" s="170"/>
      <c r="AN35" s="170"/>
      <c r="AO35" s="170"/>
      <c r="AP35" s="547"/>
      <c r="AQ35" s="547"/>
      <c r="AR35" s="547"/>
      <c r="AS35" s="464"/>
      <c r="AT35" s="718"/>
    </row>
    <row r="36" spans="1:46" s="164" customFormat="1" ht="15" customHeight="1" x14ac:dyDescent="0.2">
      <c r="A36" s="139" t="s">
        <v>230</v>
      </c>
      <c r="B36" s="165">
        <v>819</v>
      </c>
      <c r="C36" s="165">
        <v>851</v>
      </c>
      <c r="D36" s="165">
        <v>791</v>
      </c>
      <c r="E36" s="165">
        <v>764</v>
      </c>
      <c r="F36" s="165">
        <v>779</v>
      </c>
      <c r="G36" s="165">
        <v>727</v>
      </c>
      <c r="H36" s="166">
        <v>793</v>
      </c>
      <c r="I36" s="141">
        <v>840</v>
      </c>
      <c r="J36" s="166">
        <v>1471</v>
      </c>
      <c r="K36" s="166">
        <v>1268</v>
      </c>
      <c r="L36" s="166">
        <v>1095</v>
      </c>
      <c r="M36" s="166">
        <v>1574</v>
      </c>
      <c r="N36" s="166">
        <v>1512</v>
      </c>
      <c r="O36" s="166">
        <v>1229</v>
      </c>
      <c r="P36" s="166">
        <v>945</v>
      </c>
      <c r="Q36" s="166">
        <v>960</v>
      </c>
      <c r="R36" s="166">
        <v>997</v>
      </c>
      <c r="S36" s="166">
        <v>1074</v>
      </c>
      <c r="T36" s="166">
        <v>1401</v>
      </c>
      <c r="U36" s="166">
        <v>1042</v>
      </c>
      <c r="V36" s="166">
        <v>755</v>
      </c>
      <c r="W36" s="166">
        <v>483</v>
      </c>
      <c r="X36" s="166">
        <v>477</v>
      </c>
      <c r="Y36" s="166">
        <v>423</v>
      </c>
      <c r="Z36" s="166">
        <v>217</v>
      </c>
      <c r="AA36" s="166">
        <v>182</v>
      </c>
      <c r="AB36" s="166">
        <v>171</v>
      </c>
      <c r="AC36" s="166">
        <v>2189</v>
      </c>
      <c r="AD36" s="166">
        <v>2111</v>
      </c>
      <c r="AE36" s="166">
        <v>2039</v>
      </c>
      <c r="AF36" s="166">
        <v>2309</v>
      </c>
      <c r="AG36" s="166">
        <v>2517</v>
      </c>
      <c r="AH36" s="166">
        <v>3071</v>
      </c>
      <c r="AI36" s="166">
        <v>5939</v>
      </c>
      <c r="AJ36" s="166">
        <v>6870</v>
      </c>
      <c r="AK36" s="166">
        <v>5427</v>
      </c>
      <c r="AL36" s="166">
        <v>5442</v>
      </c>
      <c r="AM36" s="166">
        <v>3236</v>
      </c>
      <c r="AN36" s="166">
        <v>3390</v>
      </c>
      <c r="AO36" s="166">
        <v>3424</v>
      </c>
      <c r="AP36" s="373">
        <f>442+3000</f>
        <v>3442</v>
      </c>
      <c r="AQ36" s="373">
        <v>3076</v>
      </c>
      <c r="AR36" s="373">
        <f>1030.83+3000</f>
        <v>4030.83</v>
      </c>
      <c r="AS36" s="374">
        <v>4158</v>
      </c>
      <c r="AT36" s="718"/>
    </row>
    <row r="37" spans="1:46" s="164" customFormat="1" ht="15" customHeight="1" x14ac:dyDescent="0.2">
      <c r="A37" s="139" t="s">
        <v>231</v>
      </c>
      <c r="B37" s="165">
        <v>90179</v>
      </c>
      <c r="C37" s="165">
        <v>95918</v>
      </c>
      <c r="D37" s="165">
        <v>102515</v>
      </c>
      <c r="E37" s="165">
        <v>115002</v>
      </c>
      <c r="F37" s="165">
        <v>119171</v>
      </c>
      <c r="G37" s="165">
        <v>124602</v>
      </c>
      <c r="H37" s="166">
        <v>133296</v>
      </c>
      <c r="I37" s="141">
        <v>139123</v>
      </c>
      <c r="J37" s="166">
        <v>137843</v>
      </c>
      <c r="K37" s="166">
        <v>136459</v>
      </c>
      <c r="L37" s="166">
        <v>140394</v>
      </c>
      <c r="M37" s="166">
        <v>149932</v>
      </c>
      <c r="N37" s="166">
        <v>159729</v>
      </c>
      <c r="O37" s="166">
        <v>171068</v>
      </c>
      <c r="P37" s="166">
        <v>181503</v>
      </c>
      <c r="Q37" s="166">
        <v>196206</v>
      </c>
      <c r="R37" s="166">
        <v>206398</v>
      </c>
      <c r="S37" s="166">
        <v>217069</v>
      </c>
      <c r="T37" s="166">
        <v>227869</v>
      </c>
      <c r="U37" s="166">
        <v>236126</v>
      </c>
      <c r="V37" s="166">
        <v>238932</v>
      </c>
      <c r="W37" s="166">
        <v>248171</v>
      </c>
      <c r="X37" s="166">
        <v>253540</v>
      </c>
      <c r="Y37" s="166">
        <v>259482</v>
      </c>
      <c r="Z37" s="166">
        <v>268525</v>
      </c>
      <c r="AA37" s="166">
        <v>275144</v>
      </c>
      <c r="AB37" s="166">
        <v>280651</v>
      </c>
      <c r="AC37" s="166">
        <v>288727</v>
      </c>
      <c r="AD37" s="166">
        <v>290509</v>
      </c>
      <c r="AE37" s="166">
        <v>291062</v>
      </c>
      <c r="AF37" s="166">
        <v>298035</v>
      </c>
      <c r="AG37" s="166">
        <v>306485</v>
      </c>
      <c r="AH37" s="166">
        <v>312122</v>
      </c>
      <c r="AI37" s="166">
        <v>309399</v>
      </c>
      <c r="AJ37" s="166">
        <v>319034</v>
      </c>
      <c r="AK37" s="166">
        <v>317844</v>
      </c>
      <c r="AL37" s="166">
        <v>304610</v>
      </c>
      <c r="AM37" s="166">
        <v>295173</v>
      </c>
      <c r="AN37" s="166">
        <v>341819</v>
      </c>
      <c r="AO37" s="166">
        <v>332518</v>
      </c>
      <c r="AP37" s="373">
        <f>161328+163763+1</f>
        <v>325092</v>
      </c>
      <c r="AQ37" s="373">
        <v>320529</v>
      </c>
      <c r="AR37" s="373">
        <f>155185.345+157561.422</f>
        <v>312746.76699999999</v>
      </c>
      <c r="AS37" s="374">
        <v>309576</v>
      </c>
      <c r="AT37" s="718"/>
    </row>
    <row r="38" spans="1:46" s="164" customFormat="1" ht="15" customHeight="1" x14ac:dyDescent="0.2">
      <c r="A38" s="139" t="s">
        <v>232</v>
      </c>
      <c r="B38" s="165">
        <v>0</v>
      </c>
      <c r="C38" s="165">
        <v>0</v>
      </c>
      <c r="D38" s="165">
        <v>0</v>
      </c>
      <c r="E38" s="165">
        <v>0</v>
      </c>
      <c r="F38" s="165">
        <v>0</v>
      </c>
      <c r="G38" s="165">
        <v>0</v>
      </c>
      <c r="H38" s="166">
        <v>0</v>
      </c>
      <c r="I38" s="141">
        <v>0</v>
      </c>
      <c r="J38" s="166">
        <v>0</v>
      </c>
      <c r="K38" s="166">
        <v>0</v>
      </c>
      <c r="L38" s="166">
        <v>0</v>
      </c>
      <c r="M38" s="166">
        <v>0</v>
      </c>
      <c r="N38" s="166">
        <v>0</v>
      </c>
      <c r="O38" s="166">
        <v>0</v>
      </c>
      <c r="P38" s="166">
        <v>0</v>
      </c>
      <c r="Q38" s="166">
        <v>0</v>
      </c>
      <c r="R38" s="166">
        <v>0</v>
      </c>
      <c r="S38" s="166">
        <v>0</v>
      </c>
      <c r="T38" s="166">
        <v>0</v>
      </c>
      <c r="U38" s="166">
        <v>0</v>
      </c>
      <c r="V38" s="166">
        <v>0</v>
      </c>
      <c r="W38" s="166">
        <v>0</v>
      </c>
      <c r="X38" s="166">
        <v>0</v>
      </c>
      <c r="Y38" s="166">
        <v>0</v>
      </c>
      <c r="Z38" s="166">
        <v>0</v>
      </c>
      <c r="AA38" s="166">
        <v>0</v>
      </c>
      <c r="AB38" s="166">
        <v>0</v>
      </c>
      <c r="AC38" s="166">
        <v>0</v>
      </c>
      <c r="AD38" s="166">
        <v>4023</v>
      </c>
      <c r="AE38" s="166">
        <v>4206</v>
      </c>
      <c r="AF38" s="166">
        <v>4312</v>
      </c>
      <c r="AG38" s="166">
        <v>4912</v>
      </c>
      <c r="AH38" s="166">
        <v>5270</v>
      </c>
      <c r="AI38" s="166">
        <v>7206</v>
      </c>
      <c r="AJ38" s="166">
        <v>7367</v>
      </c>
      <c r="AK38" s="166">
        <v>7511</v>
      </c>
      <c r="AL38" s="166">
        <v>7622</v>
      </c>
      <c r="AM38" s="166">
        <v>8064</v>
      </c>
      <c r="AN38" s="166">
        <v>8222</v>
      </c>
      <c r="AO38" s="166">
        <v>8763</v>
      </c>
      <c r="AP38" s="373">
        <f>767+7436</f>
        <v>8203</v>
      </c>
      <c r="AQ38" s="373">
        <v>8277</v>
      </c>
      <c r="AR38" s="373">
        <f>1002.39+7381</f>
        <v>8383.39</v>
      </c>
      <c r="AS38" s="374">
        <f>1032+7424</f>
        <v>8456</v>
      </c>
      <c r="AT38" s="718"/>
    </row>
    <row r="39" spans="1:46" s="164" customFormat="1" ht="15" customHeight="1" x14ac:dyDescent="0.2">
      <c r="A39" s="172" t="s">
        <v>113</v>
      </c>
      <c r="B39" s="168">
        <v>-6500</v>
      </c>
      <c r="C39" s="168">
        <v>-6760</v>
      </c>
      <c r="D39" s="168">
        <v>-7112</v>
      </c>
      <c r="E39" s="168">
        <v>-7470</v>
      </c>
      <c r="F39" s="165">
        <v>-7679</v>
      </c>
      <c r="G39" s="165">
        <v>-8108</v>
      </c>
      <c r="H39" s="166">
        <v>-8415</v>
      </c>
      <c r="I39" s="141">
        <v>-9237</v>
      </c>
      <c r="J39" s="166">
        <v>-9925</v>
      </c>
      <c r="K39" s="166">
        <v>-12009</v>
      </c>
      <c r="L39" s="166">
        <v>-12784</v>
      </c>
      <c r="M39" s="166">
        <v>-13762</v>
      </c>
      <c r="N39" s="166">
        <v>-13413</v>
      </c>
      <c r="O39" s="166">
        <v>-13430</v>
      </c>
      <c r="P39" s="166">
        <v>-13727</v>
      </c>
      <c r="Q39" s="166">
        <v>-14202</v>
      </c>
      <c r="R39" s="166">
        <v>-14773</v>
      </c>
      <c r="S39" s="166">
        <v>-15455</v>
      </c>
      <c r="T39" s="166">
        <v>-17406</v>
      </c>
      <c r="U39" s="166">
        <v>-17803</v>
      </c>
      <c r="V39" s="166">
        <v>-18478</v>
      </c>
      <c r="W39" s="166">
        <v>-19083</v>
      </c>
      <c r="X39" s="166">
        <v>-19362</v>
      </c>
      <c r="Y39" s="166">
        <v>-19712</v>
      </c>
      <c r="Z39" s="166">
        <v>-19887</v>
      </c>
      <c r="AA39" s="166">
        <v>-19983</v>
      </c>
      <c r="AB39" s="166">
        <v>-20068</v>
      </c>
      <c r="AC39" s="166">
        <v>-20061</v>
      </c>
      <c r="AD39" s="166">
        <v>-19812</v>
      </c>
      <c r="AE39" s="166">
        <v>-20237</v>
      </c>
      <c r="AF39" s="166">
        <v>-21128</v>
      </c>
      <c r="AG39" s="166">
        <v>-21574</v>
      </c>
      <c r="AH39" s="166">
        <v>-21885</v>
      </c>
      <c r="AI39" s="166">
        <v>-22186</v>
      </c>
      <c r="AJ39" s="166">
        <v>-26684</v>
      </c>
      <c r="AK39" s="166">
        <v>-27410</v>
      </c>
      <c r="AL39" s="166">
        <v>-28412</v>
      </c>
      <c r="AM39" s="166">
        <v>-28648</v>
      </c>
      <c r="AN39" s="166">
        <v>-35838</v>
      </c>
      <c r="AO39" s="166">
        <v>-34309</v>
      </c>
      <c r="AP39" s="373">
        <f>-23309-12976</f>
        <v>-36285</v>
      </c>
      <c r="AQ39" s="373">
        <v>-35468</v>
      </c>
      <c r="AR39" s="373">
        <f>-20785-13615+1</f>
        <v>-34399</v>
      </c>
      <c r="AS39" s="374">
        <f>-20750-13786</f>
        <v>-34536</v>
      </c>
      <c r="AT39" s="718"/>
    </row>
    <row r="40" spans="1:46" s="164" customFormat="1" ht="15" customHeight="1" x14ac:dyDescent="0.2">
      <c r="A40" s="173" t="s">
        <v>233</v>
      </c>
      <c r="B40" s="161">
        <f>SUM(B42:B45)</f>
        <v>3938</v>
      </c>
      <c r="C40" s="161">
        <f t="shared" ref="C40:AN40" si="10">SUM(C42:C45)</f>
        <v>4663</v>
      </c>
      <c r="D40" s="161">
        <f t="shared" si="10"/>
        <v>6100</v>
      </c>
      <c r="E40" s="161">
        <f t="shared" si="10"/>
        <v>7962</v>
      </c>
      <c r="F40" s="161">
        <f t="shared" si="10"/>
        <v>10837</v>
      </c>
      <c r="G40" s="161">
        <f t="shared" si="10"/>
        <v>14570</v>
      </c>
      <c r="H40" s="161">
        <f t="shared" si="10"/>
        <v>18674</v>
      </c>
      <c r="I40" s="161">
        <f t="shared" si="10"/>
        <v>19820</v>
      </c>
      <c r="J40" s="161">
        <f t="shared" si="10"/>
        <v>20656</v>
      </c>
      <c r="K40" s="161">
        <f t="shared" si="10"/>
        <v>21097</v>
      </c>
      <c r="L40" s="161">
        <f t="shared" si="10"/>
        <v>20601</v>
      </c>
      <c r="M40" s="161">
        <f t="shared" si="10"/>
        <v>19715</v>
      </c>
      <c r="N40" s="161">
        <f t="shared" si="10"/>
        <v>18568</v>
      </c>
      <c r="O40" s="161">
        <f t="shared" si="10"/>
        <v>17313</v>
      </c>
      <c r="P40" s="161">
        <f t="shared" si="10"/>
        <v>16087</v>
      </c>
      <c r="Q40" s="161">
        <f t="shared" si="10"/>
        <v>14926</v>
      </c>
      <c r="R40" s="161">
        <f t="shared" si="10"/>
        <v>13657</v>
      </c>
      <c r="S40" s="161">
        <f t="shared" si="10"/>
        <v>12459</v>
      </c>
      <c r="T40" s="161">
        <f t="shared" si="10"/>
        <v>11486</v>
      </c>
      <c r="U40" s="161">
        <f t="shared" si="10"/>
        <v>10524</v>
      </c>
      <c r="V40" s="161">
        <f t="shared" si="10"/>
        <v>9548</v>
      </c>
      <c r="W40" s="161">
        <f t="shared" si="10"/>
        <v>8705</v>
      </c>
      <c r="X40" s="161">
        <f t="shared" si="10"/>
        <v>7908</v>
      </c>
      <c r="Y40" s="161">
        <f t="shared" si="10"/>
        <v>7283</v>
      </c>
      <c r="Z40" s="161">
        <f t="shared" si="10"/>
        <v>6598</v>
      </c>
      <c r="AA40" s="161">
        <f t="shared" si="10"/>
        <v>6058</v>
      </c>
      <c r="AB40" s="161">
        <f t="shared" si="10"/>
        <v>5565</v>
      </c>
      <c r="AC40" s="161">
        <f t="shared" si="10"/>
        <v>5253</v>
      </c>
      <c r="AD40" s="161">
        <f t="shared" si="10"/>
        <v>4847</v>
      </c>
      <c r="AE40" s="161">
        <f t="shared" si="10"/>
        <v>4582</v>
      </c>
      <c r="AF40" s="161">
        <f t="shared" si="10"/>
        <v>4347</v>
      </c>
      <c r="AG40" s="161">
        <f t="shared" si="10"/>
        <v>4067</v>
      </c>
      <c r="AH40" s="161">
        <f t="shared" si="10"/>
        <v>3777</v>
      </c>
      <c r="AI40" s="161">
        <f t="shared" si="10"/>
        <v>3437</v>
      </c>
      <c r="AJ40" s="161">
        <f t="shared" si="10"/>
        <v>3148</v>
      </c>
      <c r="AK40" s="161">
        <f t="shared" si="10"/>
        <v>2886</v>
      </c>
      <c r="AL40" s="161">
        <f t="shared" si="10"/>
        <v>2583</v>
      </c>
      <c r="AM40" s="161">
        <f t="shared" si="10"/>
        <v>2296</v>
      </c>
      <c r="AN40" s="161">
        <f t="shared" si="10"/>
        <v>2757</v>
      </c>
      <c r="AO40" s="161">
        <f>SUM(AO42:AO45)</f>
        <v>2597</v>
      </c>
      <c r="AP40" s="376">
        <f>SUM(AP42:AP45)</f>
        <v>2371</v>
      </c>
      <c r="AQ40" s="376">
        <f>SUM(AQ42:AQ45)</f>
        <v>2202</v>
      </c>
      <c r="AR40" s="376">
        <f>SUM(AR42:AR45)</f>
        <v>2122.0619999999999</v>
      </c>
      <c r="AS40" s="377">
        <f>SUM(AS42:AS45)</f>
        <v>2102</v>
      </c>
      <c r="AT40" s="718"/>
    </row>
    <row r="41" spans="1:46" s="164" customFormat="1" ht="15" customHeight="1" x14ac:dyDescent="0.2">
      <c r="A41" s="169" t="s">
        <v>196</v>
      </c>
      <c r="B41" s="165"/>
      <c r="C41" s="165"/>
      <c r="D41" s="165"/>
      <c r="E41" s="165"/>
      <c r="F41" s="165"/>
      <c r="G41" s="165"/>
      <c r="H41" s="166"/>
      <c r="I41" s="141"/>
      <c r="J41" s="166"/>
      <c r="K41" s="166"/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  <c r="AC41" s="166"/>
      <c r="AD41" s="166"/>
      <c r="AE41" s="166"/>
      <c r="AF41" s="166"/>
      <c r="AG41" s="166"/>
      <c r="AH41" s="166"/>
      <c r="AI41" s="166"/>
      <c r="AJ41" s="166"/>
      <c r="AK41" s="166"/>
      <c r="AL41" s="166"/>
      <c r="AM41" s="166"/>
      <c r="AN41" s="166"/>
      <c r="AO41" s="166"/>
      <c r="AP41" s="373"/>
      <c r="AQ41" s="373"/>
      <c r="AR41" s="373"/>
      <c r="AS41" s="374"/>
      <c r="AT41" s="718"/>
    </row>
    <row r="42" spans="1:46" s="164" customFormat="1" ht="15" customHeight="1" x14ac:dyDescent="0.2">
      <c r="A42" s="139" t="s">
        <v>230</v>
      </c>
      <c r="B42" s="165">
        <v>146</v>
      </c>
      <c r="C42" s="165">
        <v>139</v>
      </c>
      <c r="D42" s="165">
        <v>131</v>
      </c>
      <c r="E42" s="165">
        <v>134</v>
      </c>
      <c r="F42" s="165">
        <v>132</v>
      </c>
      <c r="G42" s="165">
        <v>122</v>
      </c>
      <c r="H42" s="166">
        <v>112</v>
      </c>
      <c r="I42" s="141">
        <v>101</v>
      </c>
      <c r="J42" s="166">
        <v>91</v>
      </c>
      <c r="K42" s="166">
        <v>81</v>
      </c>
      <c r="L42" s="166">
        <v>67</v>
      </c>
      <c r="M42" s="166">
        <v>47</v>
      </c>
      <c r="N42" s="166">
        <v>34</v>
      </c>
      <c r="O42" s="166">
        <v>20</v>
      </c>
      <c r="P42" s="166">
        <v>16</v>
      </c>
      <c r="Q42" s="166">
        <v>13</v>
      </c>
      <c r="R42" s="166">
        <v>11</v>
      </c>
      <c r="S42" s="166">
        <v>9</v>
      </c>
      <c r="T42" s="166">
        <v>7</v>
      </c>
      <c r="U42" s="166">
        <v>5</v>
      </c>
      <c r="V42" s="166">
        <v>3</v>
      </c>
      <c r="W42" s="166">
        <v>1</v>
      </c>
      <c r="X42" s="166">
        <v>0</v>
      </c>
      <c r="Y42" s="166">
        <v>0</v>
      </c>
      <c r="Z42" s="166">
        <v>0</v>
      </c>
      <c r="AA42" s="166">
        <v>0</v>
      </c>
      <c r="AB42" s="166">
        <v>0</v>
      </c>
      <c r="AC42" s="166">
        <v>0</v>
      </c>
      <c r="AD42" s="166">
        <v>0</v>
      </c>
      <c r="AE42" s="166">
        <v>0</v>
      </c>
      <c r="AF42" s="166">
        <v>0</v>
      </c>
      <c r="AG42" s="166">
        <v>0</v>
      </c>
      <c r="AH42" s="166">
        <v>0</v>
      </c>
      <c r="AI42" s="166">
        <v>0</v>
      </c>
      <c r="AJ42" s="166">
        <v>0</v>
      </c>
      <c r="AK42" s="166">
        <v>0</v>
      </c>
      <c r="AL42" s="166">
        <v>0</v>
      </c>
      <c r="AM42" s="166">
        <v>0</v>
      </c>
      <c r="AN42" s="166">
        <v>0</v>
      </c>
      <c r="AO42" s="166">
        <v>0</v>
      </c>
      <c r="AP42" s="373">
        <v>0</v>
      </c>
      <c r="AQ42" s="373">
        <v>0</v>
      </c>
      <c r="AR42" s="373">
        <v>0</v>
      </c>
      <c r="AS42" s="374">
        <v>0</v>
      </c>
      <c r="AT42" s="718"/>
    </row>
    <row r="43" spans="1:46" s="164" customFormat="1" ht="15" customHeight="1" x14ac:dyDescent="0.2">
      <c r="A43" s="139" t="s">
        <v>231</v>
      </c>
      <c r="B43" s="165">
        <v>7528</v>
      </c>
      <c r="C43" s="165">
        <v>8636</v>
      </c>
      <c r="D43" s="165">
        <v>10882</v>
      </c>
      <c r="E43" s="165">
        <v>13802</v>
      </c>
      <c r="F43" s="165">
        <v>18540</v>
      </c>
      <c r="G43" s="165">
        <v>25009</v>
      </c>
      <c r="H43" s="166">
        <v>32449</v>
      </c>
      <c r="I43" s="141">
        <v>34671</v>
      </c>
      <c r="J43" s="166">
        <v>36598</v>
      </c>
      <c r="K43" s="166">
        <v>38036</v>
      </c>
      <c r="L43" s="166">
        <v>37784</v>
      </c>
      <c r="M43" s="166">
        <v>36664</v>
      </c>
      <c r="N43" s="166">
        <v>34831</v>
      </c>
      <c r="O43" s="166">
        <v>32894</v>
      </c>
      <c r="P43" s="166">
        <v>30944</v>
      </c>
      <c r="Q43" s="166">
        <v>28944</v>
      </c>
      <c r="R43" s="166">
        <v>26748</v>
      </c>
      <c r="S43" s="166">
        <v>24690</v>
      </c>
      <c r="T43" s="166">
        <v>22772</v>
      </c>
      <c r="U43" s="166">
        <v>21167</v>
      </c>
      <c r="V43" s="166">
        <v>19465</v>
      </c>
      <c r="W43" s="166">
        <v>17868</v>
      </c>
      <c r="X43" s="166">
        <v>16382</v>
      </c>
      <c r="Y43" s="166">
        <v>15169</v>
      </c>
      <c r="Z43" s="166">
        <v>13803</v>
      </c>
      <c r="AA43" s="166">
        <v>12680</v>
      </c>
      <c r="AB43" s="166">
        <v>11644</v>
      </c>
      <c r="AC43" s="166">
        <v>10971</v>
      </c>
      <c r="AD43" s="166">
        <v>10159</v>
      </c>
      <c r="AE43" s="166">
        <v>9601</v>
      </c>
      <c r="AF43" s="166">
        <v>8909</v>
      </c>
      <c r="AG43" s="166">
        <v>8325</v>
      </c>
      <c r="AH43" s="166">
        <v>7734</v>
      </c>
      <c r="AI43" s="166">
        <v>7045</v>
      </c>
      <c r="AJ43" s="166">
        <v>6448</v>
      </c>
      <c r="AK43" s="166">
        <v>5859</v>
      </c>
      <c r="AL43" s="166">
        <v>5209</v>
      </c>
      <c r="AM43" s="166">
        <v>4687</v>
      </c>
      <c r="AN43" s="166">
        <v>5797</v>
      </c>
      <c r="AO43" s="166">
        <v>5395</v>
      </c>
      <c r="AP43" s="373">
        <f>2426+2477-1</f>
        <v>4902</v>
      </c>
      <c r="AQ43" s="373">
        <v>4570</v>
      </c>
      <c r="AR43" s="373">
        <f>2088+2284.299</f>
        <v>4372.299</v>
      </c>
      <c r="AS43" s="374">
        <f>2054+2341</f>
        <v>4395</v>
      </c>
      <c r="AT43" s="718"/>
    </row>
    <row r="44" spans="1:46" s="164" customFormat="1" ht="15" customHeight="1" x14ac:dyDescent="0.2">
      <c r="A44" s="139" t="s">
        <v>234</v>
      </c>
      <c r="B44" s="165">
        <v>-3561</v>
      </c>
      <c r="C44" s="165">
        <v>-3927</v>
      </c>
      <c r="D44" s="165">
        <v>-4694</v>
      </c>
      <c r="E44" s="165">
        <v>-5728</v>
      </c>
      <c r="F44" s="165">
        <v>-7516</v>
      </c>
      <c r="G44" s="165">
        <v>-10136</v>
      </c>
      <c r="H44" s="166">
        <v>-13315</v>
      </c>
      <c r="I44" s="141">
        <v>-14234</v>
      </c>
      <c r="J44" s="166">
        <v>-15027</v>
      </c>
      <c r="K44" s="166">
        <v>-15670</v>
      </c>
      <c r="L44" s="166">
        <v>-15640</v>
      </c>
      <c r="M44" s="166">
        <v>-15242</v>
      </c>
      <c r="N44" s="166">
        <v>-14616</v>
      </c>
      <c r="O44" s="166">
        <v>-13963</v>
      </c>
      <c r="P44" s="166">
        <v>-13316</v>
      </c>
      <c r="Q44" s="166">
        <v>-12591</v>
      </c>
      <c r="R44" s="166">
        <v>-11750</v>
      </c>
      <c r="S44" s="166">
        <v>-10980</v>
      </c>
      <c r="T44" s="166">
        <v>-10237</v>
      </c>
      <c r="U44" s="166">
        <v>-9621</v>
      </c>
      <c r="V44" s="166">
        <v>-8954</v>
      </c>
      <c r="W44" s="166">
        <v>-8281</v>
      </c>
      <c r="X44" s="166">
        <v>-7651</v>
      </c>
      <c r="Y44" s="166">
        <v>-7134</v>
      </c>
      <c r="Z44" s="166">
        <v>-6523</v>
      </c>
      <c r="AA44" s="166">
        <v>-6024</v>
      </c>
      <c r="AB44" s="166">
        <v>-5567</v>
      </c>
      <c r="AC44" s="166">
        <v>-5258</v>
      </c>
      <c r="AD44" s="166">
        <v>-4888</v>
      </c>
      <c r="AE44" s="166">
        <v>-4632</v>
      </c>
      <c r="AF44" s="166">
        <v>-4301</v>
      </c>
      <c r="AG44" s="166">
        <v>-4006</v>
      </c>
      <c r="AH44" s="166">
        <v>-3719</v>
      </c>
      <c r="AI44" s="166">
        <v>-3385</v>
      </c>
      <c r="AJ44" s="166">
        <v>-3091</v>
      </c>
      <c r="AK44" s="166">
        <v>-2787</v>
      </c>
      <c r="AL44" s="166">
        <v>-2466</v>
      </c>
      <c r="AM44" s="166">
        <v>-2220</v>
      </c>
      <c r="AN44" s="166">
        <v>-2809</v>
      </c>
      <c r="AO44" s="166">
        <v>-2611</v>
      </c>
      <c r="AP44" s="373">
        <f>-1115-1255</f>
        <v>-2370</v>
      </c>
      <c r="AQ44" s="373">
        <v>-2205</v>
      </c>
      <c r="AR44" s="373">
        <f>-950.145-1156.004</f>
        <v>-2106.1489999999999</v>
      </c>
      <c r="AS44" s="374">
        <f>-936-1210</f>
        <v>-2146</v>
      </c>
      <c r="AT44" s="718"/>
    </row>
    <row r="45" spans="1:46" s="164" customFormat="1" ht="15" customHeight="1" x14ac:dyDescent="0.2">
      <c r="A45" s="139" t="s">
        <v>235</v>
      </c>
      <c r="B45" s="165">
        <v>-175</v>
      </c>
      <c r="C45" s="165">
        <v>-185</v>
      </c>
      <c r="D45" s="165">
        <v>-219</v>
      </c>
      <c r="E45" s="165">
        <v>-246</v>
      </c>
      <c r="F45" s="165">
        <v>-319</v>
      </c>
      <c r="G45" s="165">
        <v>-425</v>
      </c>
      <c r="H45" s="166">
        <v>-572</v>
      </c>
      <c r="I45" s="141">
        <v>-718</v>
      </c>
      <c r="J45" s="166">
        <v>-1006</v>
      </c>
      <c r="K45" s="166">
        <v>-1350</v>
      </c>
      <c r="L45" s="166">
        <v>-1610</v>
      </c>
      <c r="M45" s="166">
        <v>-1754</v>
      </c>
      <c r="N45" s="166">
        <v>-1681</v>
      </c>
      <c r="O45" s="166">
        <v>-1638</v>
      </c>
      <c r="P45" s="166">
        <v>-1557</v>
      </c>
      <c r="Q45" s="166">
        <v>-1440</v>
      </c>
      <c r="R45" s="166">
        <v>-1352</v>
      </c>
      <c r="S45" s="166">
        <v>-1260</v>
      </c>
      <c r="T45" s="166">
        <v>-1056</v>
      </c>
      <c r="U45" s="166">
        <v>-1027</v>
      </c>
      <c r="V45" s="166">
        <v>-966</v>
      </c>
      <c r="W45" s="166">
        <v>-883</v>
      </c>
      <c r="X45" s="166">
        <v>-823</v>
      </c>
      <c r="Y45" s="166">
        <v>-752</v>
      </c>
      <c r="Z45" s="166">
        <v>-682</v>
      </c>
      <c r="AA45" s="166">
        <v>-598</v>
      </c>
      <c r="AB45" s="166">
        <v>-512</v>
      </c>
      <c r="AC45" s="166">
        <v>-460</v>
      </c>
      <c r="AD45" s="166">
        <v>-424</v>
      </c>
      <c r="AE45" s="166">
        <v>-387</v>
      </c>
      <c r="AF45" s="166">
        <v>-261</v>
      </c>
      <c r="AG45" s="166">
        <v>-252</v>
      </c>
      <c r="AH45" s="166">
        <v>-238</v>
      </c>
      <c r="AI45" s="166">
        <v>-223</v>
      </c>
      <c r="AJ45" s="166">
        <v>-209</v>
      </c>
      <c r="AK45" s="166">
        <v>-186</v>
      </c>
      <c r="AL45" s="166">
        <v>-160</v>
      </c>
      <c r="AM45" s="166">
        <v>-171</v>
      </c>
      <c r="AN45" s="166">
        <v>-231</v>
      </c>
      <c r="AO45" s="166">
        <v>-187</v>
      </c>
      <c r="AP45" s="373">
        <f>-97-64</f>
        <v>-161</v>
      </c>
      <c r="AQ45" s="373">
        <v>-163</v>
      </c>
      <c r="AR45" s="373">
        <f>-77.088-67</f>
        <v>-144.08799999999999</v>
      </c>
      <c r="AS45" s="374">
        <f>-84-63</f>
        <v>-147</v>
      </c>
      <c r="AT45" s="718"/>
    </row>
    <row r="46" spans="1:46" s="164" customFormat="1" ht="15" customHeight="1" x14ac:dyDescent="0.2">
      <c r="A46" s="173" t="s">
        <v>236</v>
      </c>
      <c r="B46" s="161">
        <f t="shared" ref="B46:AN46" si="11">SUM(B47:B54)</f>
        <v>34929</v>
      </c>
      <c r="C46" s="161">
        <f t="shared" si="11"/>
        <v>34122</v>
      </c>
      <c r="D46" s="161">
        <f t="shared" si="11"/>
        <v>36197</v>
      </c>
      <c r="E46" s="161">
        <f t="shared" si="11"/>
        <v>35829</v>
      </c>
      <c r="F46" s="161">
        <f t="shared" si="11"/>
        <v>40736</v>
      </c>
      <c r="G46" s="161">
        <f t="shared" si="11"/>
        <v>39951</v>
      </c>
      <c r="H46" s="161">
        <f t="shared" si="11"/>
        <v>45881</v>
      </c>
      <c r="I46" s="161">
        <f t="shared" si="11"/>
        <v>65570</v>
      </c>
      <c r="J46" s="161">
        <f t="shared" si="11"/>
        <v>74872</v>
      </c>
      <c r="K46" s="161">
        <f t="shared" si="11"/>
        <v>64208</v>
      </c>
      <c r="L46" s="161">
        <f t="shared" si="11"/>
        <v>54735</v>
      </c>
      <c r="M46" s="161">
        <f t="shared" si="11"/>
        <v>53568</v>
      </c>
      <c r="N46" s="161">
        <f t="shared" si="11"/>
        <v>54533</v>
      </c>
      <c r="O46" s="161">
        <f t="shared" si="11"/>
        <v>59244</v>
      </c>
      <c r="P46" s="161">
        <f t="shared" si="11"/>
        <v>65442</v>
      </c>
      <c r="Q46" s="161">
        <f t="shared" si="11"/>
        <v>57371</v>
      </c>
      <c r="R46" s="161">
        <f t="shared" si="11"/>
        <v>63775</v>
      </c>
      <c r="S46" s="161">
        <f t="shared" si="11"/>
        <v>68009</v>
      </c>
      <c r="T46" s="161">
        <f t="shared" si="11"/>
        <v>71995</v>
      </c>
      <c r="U46" s="161">
        <f t="shared" si="11"/>
        <v>69800</v>
      </c>
      <c r="V46" s="161">
        <f t="shared" si="11"/>
        <v>73486</v>
      </c>
      <c r="W46" s="161">
        <f t="shared" si="11"/>
        <v>80867</v>
      </c>
      <c r="X46" s="161">
        <f t="shared" si="11"/>
        <v>78106</v>
      </c>
      <c r="Y46" s="161">
        <f t="shared" si="11"/>
        <v>83656</v>
      </c>
      <c r="Z46" s="161">
        <f t="shared" si="11"/>
        <v>83409</v>
      </c>
      <c r="AA46" s="161">
        <f t="shared" si="11"/>
        <v>90391</v>
      </c>
      <c r="AB46" s="161">
        <f t="shared" si="11"/>
        <v>94140</v>
      </c>
      <c r="AC46" s="161">
        <f t="shared" si="11"/>
        <v>93632</v>
      </c>
      <c r="AD46" s="161">
        <f t="shared" si="11"/>
        <v>97308</v>
      </c>
      <c r="AE46" s="161">
        <f t="shared" si="11"/>
        <v>90924</v>
      </c>
      <c r="AF46" s="161">
        <f t="shared" si="11"/>
        <v>94906</v>
      </c>
      <c r="AG46" s="161">
        <f t="shared" si="11"/>
        <v>100219</v>
      </c>
      <c r="AH46" s="161">
        <f t="shared" si="11"/>
        <v>105779</v>
      </c>
      <c r="AI46" s="161">
        <f t="shared" si="11"/>
        <v>107174</v>
      </c>
      <c r="AJ46" s="161">
        <f t="shared" si="11"/>
        <v>132513</v>
      </c>
      <c r="AK46" s="161">
        <f t="shared" si="11"/>
        <v>126767</v>
      </c>
      <c r="AL46" s="161">
        <f t="shared" si="11"/>
        <v>134180</v>
      </c>
      <c r="AM46" s="161">
        <f t="shared" si="11"/>
        <v>141513</v>
      </c>
      <c r="AN46" s="161">
        <f t="shared" si="11"/>
        <v>149510</v>
      </c>
      <c r="AO46" s="161">
        <f>SUM(AO47:AO54)</f>
        <v>142709</v>
      </c>
      <c r="AP46" s="376">
        <f>SUM(AP47:AP54)</f>
        <v>142368</v>
      </c>
      <c r="AQ46" s="376">
        <f>SUM(AQ47:AQ54)</f>
        <v>157901</v>
      </c>
      <c r="AR46" s="376">
        <f>SUM(AR47:AR54)</f>
        <v>146954</v>
      </c>
      <c r="AS46" s="377">
        <f>SUM(AS47:AS54)</f>
        <v>151428</v>
      </c>
      <c r="AT46" s="718"/>
    </row>
    <row r="47" spans="1:46" s="164" customFormat="1" ht="15" customHeight="1" x14ac:dyDescent="0.2">
      <c r="A47" s="139" t="s">
        <v>237</v>
      </c>
      <c r="B47" s="165">
        <v>2</v>
      </c>
      <c r="C47" s="165">
        <v>1</v>
      </c>
      <c r="D47" s="165">
        <v>2</v>
      </c>
      <c r="E47" s="165">
        <v>12</v>
      </c>
      <c r="F47" s="165">
        <v>12</v>
      </c>
      <c r="G47" s="165">
        <v>21</v>
      </c>
      <c r="H47" s="166">
        <v>28</v>
      </c>
      <c r="I47" s="141">
        <v>41</v>
      </c>
      <c r="J47" s="166">
        <v>7</v>
      </c>
      <c r="K47" s="166">
        <v>11</v>
      </c>
      <c r="L47" s="166">
        <v>13</v>
      </c>
      <c r="M47" s="166">
        <v>21</v>
      </c>
      <c r="N47" s="166">
        <v>21</v>
      </c>
      <c r="O47" s="166">
        <v>9</v>
      </c>
      <c r="P47" s="166">
        <v>19</v>
      </c>
      <c r="Q47" s="166">
        <v>6</v>
      </c>
      <c r="R47" s="166">
        <v>3</v>
      </c>
      <c r="S47" s="166">
        <v>2</v>
      </c>
      <c r="T47" s="166">
        <v>9</v>
      </c>
      <c r="U47" s="166">
        <v>10</v>
      </c>
      <c r="V47" s="166">
        <v>13</v>
      </c>
      <c r="W47" s="166">
        <v>9</v>
      </c>
      <c r="X47" s="166">
        <v>7</v>
      </c>
      <c r="Y47" s="166">
        <v>10</v>
      </c>
      <c r="Z47" s="166">
        <v>20</v>
      </c>
      <c r="AA47" s="166">
        <v>23</v>
      </c>
      <c r="AB47" s="166">
        <v>21</v>
      </c>
      <c r="AC47" s="166">
        <v>11</v>
      </c>
      <c r="AD47" s="166">
        <v>32</v>
      </c>
      <c r="AE47" s="166">
        <v>30</v>
      </c>
      <c r="AF47" s="166">
        <v>36</v>
      </c>
      <c r="AG47" s="166">
        <v>39</v>
      </c>
      <c r="AH47" s="166">
        <v>89</v>
      </c>
      <c r="AI47" s="166">
        <v>59</v>
      </c>
      <c r="AJ47" s="166">
        <v>67</v>
      </c>
      <c r="AK47" s="166">
        <v>104</v>
      </c>
      <c r="AL47" s="166">
        <v>167</v>
      </c>
      <c r="AM47" s="166">
        <v>141</v>
      </c>
      <c r="AN47" s="166">
        <v>369</v>
      </c>
      <c r="AO47" s="166">
        <v>1377</v>
      </c>
      <c r="AP47" s="373">
        <v>1273</v>
      </c>
      <c r="AQ47" s="373">
        <v>416</v>
      </c>
      <c r="AR47" s="373">
        <v>370.05599999999998</v>
      </c>
      <c r="AS47" s="374">
        <v>128</v>
      </c>
      <c r="AT47" s="718"/>
    </row>
    <row r="48" spans="1:46" s="164" customFormat="1" ht="15" customHeight="1" x14ac:dyDescent="0.2">
      <c r="A48" s="139" t="s">
        <v>118</v>
      </c>
      <c r="B48" s="165">
        <v>13620</v>
      </c>
      <c r="C48" s="165">
        <v>12047</v>
      </c>
      <c r="D48" s="165">
        <v>11621</v>
      </c>
      <c r="E48" s="165">
        <v>9837</v>
      </c>
      <c r="F48" s="165">
        <v>14256</v>
      </c>
      <c r="G48" s="165">
        <v>12243</v>
      </c>
      <c r="H48" s="166">
        <v>13435</v>
      </c>
      <c r="I48" s="141">
        <v>24837</v>
      </c>
      <c r="J48" s="166">
        <v>33385</v>
      </c>
      <c r="K48" s="166">
        <v>20154</v>
      </c>
      <c r="L48" s="166">
        <v>12295</v>
      </c>
      <c r="M48" s="166">
        <v>8969</v>
      </c>
      <c r="N48" s="166">
        <v>9953</v>
      </c>
      <c r="O48" s="166">
        <v>12777</v>
      </c>
      <c r="P48" s="166">
        <v>18699</v>
      </c>
      <c r="Q48" s="166">
        <v>9445</v>
      </c>
      <c r="R48" s="166">
        <v>16208</v>
      </c>
      <c r="S48" s="166">
        <v>13930</v>
      </c>
      <c r="T48" s="166">
        <v>14000</v>
      </c>
      <c r="U48" s="166">
        <v>9893</v>
      </c>
      <c r="V48" s="166">
        <v>12606</v>
      </c>
      <c r="W48" s="166">
        <v>14027</v>
      </c>
      <c r="X48" s="166">
        <v>11243</v>
      </c>
      <c r="Y48" s="166">
        <v>11557</v>
      </c>
      <c r="Z48" s="166">
        <v>12142</v>
      </c>
      <c r="AA48" s="166">
        <v>12603</v>
      </c>
      <c r="AB48" s="166">
        <v>16764</v>
      </c>
      <c r="AC48" s="166">
        <v>13707</v>
      </c>
      <c r="AD48" s="166">
        <v>18134</v>
      </c>
      <c r="AE48" s="166">
        <v>11476</v>
      </c>
      <c r="AF48" s="166">
        <v>11565</v>
      </c>
      <c r="AG48" s="166">
        <v>11774</v>
      </c>
      <c r="AH48" s="166">
        <v>13132</v>
      </c>
      <c r="AI48" s="166">
        <v>16245</v>
      </c>
      <c r="AJ48" s="166">
        <v>22365</v>
      </c>
      <c r="AK48" s="166">
        <v>14369</v>
      </c>
      <c r="AL48" s="166">
        <v>26533</v>
      </c>
      <c r="AM48" s="166">
        <v>33576</v>
      </c>
      <c r="AN48" s="166">
        <v>23756</v>
      </c>
      <c r="AO48" s="166">
        <v>17621</v>
      </c>
      <c r="AP48" s="373">
        <v>20244</v>
      </c>
      <c r="AQ48" s="373">
        <v>17402</v>
      </c>
      <c r="AR48" s="373">
        <v>20525</v>
      </c>
      <c r="AS48" s="374">
        <v>17470</v>
      </c>
      <c r="AT48" s="718"/>
    </row>
    <row r="49" spans="1:46" s="164" customFormat="1" ht="15" customHeight="1" x14ac:dyDescent="0.2">
      <c r="A49" s="139" t="s">
        <v>238</v>
      </c>
      <c r="B49" s="165">
        <v>208</v>
      </c>
      <c r="C49" s="165">
        <v>206</v>
      </c>
      <c r="D49" s="165">
        <v>200</v>
      </c>
      <c r="E49" s="165">
        <v>371</v>
      </c>
      <c r="F49" s="165">
        <v>339</v>
      </c>
      <c r="G49" s="165">
        <v>308</v>
      </c>
      <c r="H49" s="166">
        <v>432</v>
      </c>
      <c r="I49" s="141">
        <v>385</v>
      </c>
      <c r="J49" s="166">
        <v>505</v>
      </c>
      <c r="K49" s="166">
        <v>537</v>
      </c>
      <c r="L49" s="166">
        <v>482</v>
      </c>
      <c r="M49" s="166">
        <v>685</v>
      </c>
      <c r="N49" s="166">
        <v>490</v>
      </c>
      <c r="O49" s="166">
        <v>438</v>
      </c>
      <c r="P49" s="166">
        <v>443</v>
      </c>
      <c r="Q49" s="166">
        <v>495</v>
      </c>
      <c r="R49" s="166">
        <v>589</v>
      </c>
      <c r="S49" s="166">
        <v>605</v>
      </c>
      <c r="T49" s="166">
        <v>636</v>
      </c>
      <c r="U49" s="166">
        <v>708</v>
      </c>
      <c r="V49" s="166">
        <v>704</v>
      </c>
      <c r="W49" s="166">
        <v>686</v>
      </c>
      <c r="X49" s="166">
        <v>718</v>
      </c>
      <c r="Y49" s="166">
        <v>769</v>
      </c>
      <c r="Z49" s="166">
        <v>753</v>
      </c>
      <c r="AA49" s="166">
        <v>774</v>
      </c>
      <c r="AB49" s="166">
        <v>835</v>
      </c>
      <c r="AC49" s="166">
        <v>819</v>
      </c>
      <c r="AD49" s="166">
        <v>748</v>
      </c>
      <c r="AE49" s="166">
        <v>611</v>
      </c>
      <c r="AF49" s="166">
        <v>685</v>
      </c>
      <c r="AG49" s="166">
        <v>783</v>
      </c>
      <c r="AH49" s="166">
        <v>819</v>
      </c>
      <c r="AI49" s="166">
        <v>867</v>
      </c>
      <c r="AJ49" s="166">
        <v>923</v>
      </c>
      <c r="AK49" s="166">
        <v>993</v>
      </c>
      <c r="AL49" s="166">
        <v>993</v>
      </c>
      <c r="AM49" s="166">
        <v>1516</v>
      </c>
      <c r="AN49" s="166">
        <v>1617</v>
      </c>
      <c r="AO49" s="166">
        <v>1302</v>
      </c>
      <c r="AP49" s="373">
        <f>1315+21-1</f>
        <v>1335</v>
      </c>
      <c r="AQ49" s="373">
        <v>1718</v>
      </c>
      <c r="AR49" s="373">
        <f>1457.315+44.342</f>
        <v>1501.6570000000002</v>
      </c>
      <c r="AS49" s="374">
        <f>1817+26</f>
        <v>1843</v>
      </c>
      <c r="AT49" s="718"/>
    </row>
    <row r="50" spans="1:46" s="164" customFormat="1" ht="15" customHeight="1" x14ac:dyDescent="0.2">
      <c r="A50" s="139" t="s">
        <v>239</v>
      </c>
      <c r="B50" s="165">
        <v>752</v>
      </c>
      <c r="C50" s="165">
        <v>514</v>
      </c>
      <c r="D50" s="165">
        <v>1343</v>
      </c>
      <c r="E50" s="165">
        <v>1378</v>
      </c>
      <c r="F50" s="165">
        <v>1738</v>
      </c>
      <c r="G50" s="165">
        <v>1396</v>
      </c>
      <c r="H50" s="166">
        <v>2338</v>
      </c>
      <c r="I50" s="141">
        <v>2997</v>
      </c>
      <c r="J50" s="166">
        <v>2208</v>
      </c>
      <c r="K50" s="166">
        <v>1943</v>
      </c>
      <c r="L50" s="166">
        <v>1306</v>
      </c>
      <c r="M50" s="166">
        <v>1173</v>
      </c>
      <c r="N50" s="166">
        <v>1391</v>
      </c>
      <c r="O50" s="166">
        <v>1177</v>
      </c>
      <c r="P50" s="166">
        <v>836</v>
      </c>
      <c r="Q50" s="166">
        <v>866</v>
      </c>
      <c r="R50" s="166">
        <v>774</v>
      </c>
      <c r="S50" s="166">
        <v>1107</v>
      </c>
      <c r="T50" s="166">
        <v>2194</v>
      </c>
      <c r="U50" s="166">
        <v>2432</v>
      </c>
      <c r="V50" s="166">
        <v>2684</v>
      </c>
      <c r="W50" s="166">
        <v>4231</v>
      </c>
      <c r="X50" s="166">
        <v>3440</v>
      </c>
      <c r="Y50" s="166">
        <v>4006</v>
      </c>
      <c r="Z50" s="166">
        <v>3363</v>
      </c>
      <c r="AA50" s="166">
        <v>4451</v>
      </c>
      <c r="AB50" s="166">
        <v>1604</v>
      </c>
      <c r="AC50" s="166">
        <v>1314</v>
      </c>
      <c r="AD50" s="166">
        <v>1175</v>
      </c>
      <c r="AE50" s="166">
        <v>958</v>
      </c>
      <c r="AF50" s="166">
        <v>1525</v>
      </c>
      <c r="AG50" s="166">
        <v>1625</v>
      </c>
      <c r="AH50" s="166">
        <v>1767</v>
      </c>
      <c r="AI50" s="166">
        <v>1242</v>
      </c>
      <c r="AJ50" s="166">
        <v>3573</v>
      </c>
      <c r="AK50" s="166">
        <v>2862</v>
      </c>
      <c r="AL50" s="166">
        <v>2646</v>
      </c>
      <c r="AM50" s="166">
        <v>2256</v>
      </c>
      <c r="AN50" s="166">
        <v>2287</v>
      </c>
      <c r="AO50" s="166">
        <v>1946</v>
      </c>
      <c r="AP50" s="373">
        <f>1086+547</f>
        <v>1633</v>
      </c>
      <c r="AQ50" s="373">
        <v>1402</v>
      </c>
      <c r="AR50" s="373">
        <f>1681+264.287</f>
        <v>1945.287</v>
      </c>
      <c r="AS50" s="374">
        <f>1399+257</f>
        <v>1656</v>
      </c>
      <c r="AT50" s="718"/>
    </row>
    <row r="51" spans="1:46" s="164" customFormat="1" ht="15" customHeight="1" x14ac:dyDescent="0.2">
      <c r="A51" s="139" t="s">
        <v>240</v>
      </c>
      <c r="B51" s="166">
        <v>0</v>
      </c>
      <c r="C51" s="166">
        <v>0</v>
      </c>
      <c r="D51" s="166">
        <v>0</v>
      </c>
      <c r="E51" s="166">
        <v>0</v>
      </c>
      <c r="F51" s="166">
        <v>0</v>
      </c>
      <c r="G51" s="166">
        <v>0</v>
      </c>
      <c r="H51" s="166">
        <v>0</v>
      </c>
      <c r="I51" s="166">
        <v>0</v>
      </c>
      <c r="J51" s="166">
        <v>1</v>
      </c>
      <c r="K51" s="166">
        <v>1</v>
      </c>
      <c r="L51" s="166">
        <v>1</v>
      </c>
      <c r="M51" s="166">
        <v>1</v>
      </c>
      <c r="N51" s="166">
        <v>2</v>
      </c>
      <c r="O51" s="166">
        <v>2</v>
      </c>
      <c r="P51" s="166">
        <v>2</v>
      </c>
      <c r="Q51" s="166">
        <v>2</v>
      </c>
      <c r="R51" s="166">
        <v>2</v>
      </c>
      <c r="S51" s="166">
        <v>2</v>
      </c>
      <c r="T51" s="166">
        <v>2</v>
      </c>
      <c r="U51" s="166">
        <v>2</v>
      </c>
      <c r="V51" s="166">
        <v>3</v>
      </c>
      <c r="W51" s="166">
        <v>2</v>
      </c>
      <c r="X51" s="166">
        <v>3</v>
      </c>
      <c r="Y51" s="166">
        <v>3</v>
      </c>
      <c r="Z51" s="166">
        <v>3</v>
      </c>
      <c r="AA51" s="166">
        <v>3</v>
      </c>
      <c r="AB51" s="166">
        <v>3</v>
      </c>
      <c r="AC51" s="166">
        <v>3</v>
      </c>
      <c r="AD51" s="166">
        <v>3</v>
      </c>
      <c r="AE51" s="166">
        <v>3</v>
      </c>
      <c r="AF51" s="166">
        <v>4</v>
      </c>
      <c r="AG51" s="166">
        <v>4</v>
      </c>
      <c r="AH51" s="166">
        <v>5</v>
      </c>
      <c r="AI51" s="166">
        <v>6</v>
      </c>
      <c r="AJ51" s="166">
        <v>7</v>
      </c>
      <c r="AK51" s="166">
        <v>7</v>
      </c>
      <c r="AL51" s="166">
        <v>7</v>
      </c>
      <c r="AM51" s="166">
        <v>8</v>
      </c>
      <c r="AN51" s="166">
        <v>13</v>
      </c>
      <c r="AO51" s="166">
        <v>13</v>
      </c>
      <c r="AP51" s="373">
        <v>15</v>
      </c>
      <c r="AQ51" s="373">
        <v>19</v>
      </c>
      <c r="AR51" s="373">
        <v>22</v>
      </c>
      <c r="AS51" s="374">
        <v>24</v>
      </c>
      <c r="AT51" s="718"/>
    </row>
    <row r="52" spans="1:46" s="164" customFormat="1" ht="15" customHeight="1" x14ac:dyDescent="0.2">
      <c r="A52" s="139" t="s">
        <v>648</v>
      </c>
      <c r="B52" s="165">
        <v>1094</v>
      </c>
      <c r="C52" s="165">
        <v>1241</v>
      </c>
      <c r="D52" s="165">
        <v>1404</v>
      </c>
      <c r="E52" s="165">
        <v>1276</v>
      </c>
      <c r="F52" s="165">
        <v>1256</v>
      </c>
      <c r="G52" s="165">
        <v>1341</v>
      </c>
      <c r="H52" s="166">
        <v>1389</v>
      </c>
      <c r="I52" s="141">
        <v>1363</v>
      </c>
      <c r="J52" s="166">
        <v>2060</v>
      </c>
      <c r="K52" s="166">
        <v>2060</v>
      </c>
      <c r="L52" s="166">
        <v>2155</v>
      </c>
      <c r="M52" s="166">
        <v>2268</v>
      </c>
      <c r="N52" s="166">
        <v>1972</v>
      </c>
      <c r="O52" s="166">
        <v>1996</v>
      </c>
      <c r="P52" s="166">
        <v>1988</v>
      </c>
      <c r="Q52" s="166">
        <v>1917</v>
      </c>
      <c r="R52" s="166">
        <v>2178</v>
      </c>
      <c r="S52" s="166">
        <v>2289</v>
      </c>
      <c r="T52" s="166">
        <v>2348</v>
      </c>
      <c r="U52" s="166">
        <v>2323</v>
      </c>
      <c r="V52" s="166">
        <v>2491</v>
      </c>
      <c r="W52" s="166">
        <v>2767</v>
      </c>
      <c r="X52" s="166">
        <v>2781</v>
      </c>
      <c r="Y52" s="166">
        <v>2711</v>
      </c>
      <c r="Z52" s="166">
        <v>3218</v>
      </c>
      <c r="AA52" s="166">
        <v>3462</v>
      </c>
      <c r="AB52" s="166">
        <v>3535</v>
      </c>
      <c r="AC52" s="166">
        <v>3498</v>
      </c>
      <c r="AD52" s="166">
        <v>3777</v>
      </c>
      <c r="AE52" s="166">
        <v>4070</v>
      </c>
      <c r="AF52" s="166">
        <v>4259</v>
      </c>
      <c r="AG52" s="166">
        <v>4057</v>
      </c>
      <c r="AH52" s="166">
        <v>4054</v>
      </c>
      <c r="AI52" s="166">
        <v>4386</v>
      </c>
      <c r="AJ52" s="166">
        <v>4556</v>
      </c>
      <c r="AK52" s="166">
        <v>4480</v>
      </c>
      <c r="AL52" s="166">
        <v>4480</v>
      </c>
      <c r="AM52" s="166">
        <v>4810</v>
      </c>
      <c r="AN52" s="166">
        <v>5274</v>
      </c>
      <c r="AO52" s="166">
        <v>5146</v>
      </c>
      <c r="AP52" s="373">
        <v>4870</v>
      </c>
      <c r="AQ52" s="373">
        <v>4765</v>
      </c>
      <c r="AR52" s="373">
        <v>3950</v>
      </c>
      <c r="AS52" s="374">
        <v>3917</v>
      </c>
      <c r="AT52" s="718"/>
    </row>
    <row r="53" spans="1:46" s="164" customFormat="1" ht="15" customHeight="1" x14ac:dyDescent="0.2">
      <c r="A53" s="172" t="s">
        <v>241</v>
      </c>
      <c r="B53" s="165">
        <v>19353</v>
      </c>
      <c r="C53" s="165">
        <v>20200</v>
      </c>
      <c r="D53" s="165">
        <v>21724</v>
      </c>
      <c r="E53" s="165">
        <v>23065</v>
      </c>
      <c r="F53" s="165">
        <v>23241</v>
      </c>
      <c r="G53" s="165">
        <v>24761</v>
      </c>
      <c r="H53" s="166">
        <v>28408</v>
      </c>
      <c r="I53" s="141">
        <v>36255</v>
      </c>
      <c r="J53" s="166">
        <v>37200</v>
      </c>
      <c r="K53" s="166">
        <v>40014</v>
      </c>
      <c r="L53" s="166">
        <v>39042</v>
      </c>
      <c r="M53" s="166">
        <v>41248</v>
      </c>
      <c r="N53" s="166">
        <v>41446</v>
      </c>
      <c r="O53" s="166">
        <v>43558</v>
      </c>
      <c r="P53" s="166">
        <v>44190</v>
      </c>
      <c r="Q53" s="166">
        <v>45288</v>
      </c>
      <c r="R53" s="166">
        <v>44636</v>
      </c>
      <c r="S53" s="166">
        <v>50724</v>
      </c>
      <c r="T53" s="166">
        <v>53435</v>
      </c>
      <c r="U53" s="166">
        <v>55142</v>
      </c>
      <c r="V53" s="166">
        <v>55658</v>
      </c>
      <c r="W53" s="166">
        <v>59861</v>
      </c>
      <c r="X53" s="166">
        <v>60644</v>
      </c>
      <c r="Y53" s="166">
        <v>65435</v>
      </c>
      <c r="Z53" s="166">
        <v>64700</v>
      </c>
      <c r="AA53" s="166">
        <v>69949</v>
      </c>
      <c r="AB53" s="166">
        <v>72274</v>
      </c>
      <c r="AC53" s="166">
        <v>75108</v>
      </c>
      <c r="AD53" s="166">
        <v>74254</v>
      </c>
      <c r="AE53" s="166">
        <v>74610</v>
      </c>
      <c r="AF53" s="166">
        <v>77698</v>
      </c>
      <c r="AG53" s="166">
        <v>82835</v>
      </c>
      <c r="AH53" s="166">
        <v>86801</v>
      </c>
      <c r="AI53" s="166">
        <v>85250</v>
      </c>
      <c r="AJ53" s="166">
        <v>102081</v>
      </c>
      <c r="AK53" s="166">
        <v>105161</v>
      </c>
      <c r="AL53" s="166">
        <v>100516</v>
      </c>
      <c r="AM53" s="166">
        <v>100406</v>
      </c>
      <c r="AN53" s="166">
        <v>118273</v>
      </c>
      <c r="AO53" s="166">
        <v>118461</v>
      </c>
      <c r="AP53" s="373">
        <f>58550+57183</f>
        <v>115733</v>
      </c>
      <c r="AQ53" s="373">
        <v>134084</v>
      </c>
      <c r="AR53" s="373">
        <f>63627+57027</f>
        <v>120654</v>
      </c>
      <c r="AS53" s="374">
        <f>71382+56852</f>
        <v>128234</v>
      </c>
      <c r="AT53" s="718"/>
    </row>
    <row r="54" spans="1:46" s="164" customFormat="1" ht="15" customHeight="1" x14ac:dyDescent="0.2">
      <c r="A54" s="139" t="s">
        <v>242</v>
      </c>
      <c r="B54" s="165">
        <v>-100</v>
      </c>
      <c r="C54" s="165">
        <v>-87</v>
      </c>
      <c r="D54" s="165">
        <v>-97</v>
      </c>
      <c r="E54" s="165">
        <v>-110</v>
      </c>
      <c r="F54" s="165">
        <v>-106</v>
      </c>
      <c r="G54" s="165">
        <v>-119</v>
      </c>
      <c r="H54" s="166">
        <v>-149</v>
      </c>
      <c r="I54" s="141">
        <v>-308</v>
      </c>
      <c r="J54" s="166">
        <v>-494</v>
      </c>
      <c r="K54" s="166">
        <v>-512</v>
      </c>
      <c r="L54" s="166">
        <v>-559</v>
      </c>
      <c r="M54" s="166">
        <v>-797</v>
      </c>
      <c r="N54" s="166">
        <v>-742</v>
      </c>
      <c r="O54" s="166">
        <v>-713</v>
      </c>
      <c r="P54" s="166">
        <v>-735</v>
      </c>
      <c r="Q54" s="166">
        <v>-648</v>
      </c>
      <c r="R54" s="166">
        <v>-615</v>
      </c>
      <c r="S54" s="166">
        <v>-650</v>
      </c>
      <c r="T54" s="166">
        <v>-629</v>
      </c>
      <c r="U54" s="166">
        <v>-710</v>
      </c>
      <c r="V54" s="166">
        <v>-673</v>
      </c>
      <c r="W54" s="166">
        <v>-716</v>
      </c>
      <c r="X54" s="166">
        <v>-730</v>
      </c>
      <c r="Y54" s="166">
        <v>-835</v>
      </c>
      <c r="Z54" s="166">
        <v>-790</v>
      </c>
      <c r="AA54" s="166">
        <v>-874</v>
      </c>
      <c r="AB54" s="166">
        <v>-896</v>
      </c>
      <c r="AC54" s="166">
        <v>-828</v>
      </c>
      <c r="AD54" s="166">
        <v>-815</v>
      </c>
      <c r="AE54" s="166">
        <v>-834</v>
      </c>
      <c r="AF54" s="166">
        <v>-866</v>
      </c>
      <c r="AG54" s="166">
        <v>-898</v>
      </c>
      <c r="AH54" s="166">
        <v>-888</v>
      </c>
      <c r="AI54" s="166">
        <v>-881</v>
      </c>
      <c r="AJ54" s="166">
        <v>-1059</v>
      </c>
      <c r="AK54" s="166">
        <v>-1209</v>
      </c>
      <c r="AL54" s="166">
        <v>-1162</v>
      </c>
      <c r="AM54" s="166">
        <v>-1200</v>
      </c>
      <c r="AN54" s="166">
        <v>-2079</v>
      </c>
      <c r="AO54" s="166">
        <v>-3157</v>
      </c>
      <c r="AP54" s="373">
        <f>-2718-18+1</f>
        <v>-2735</v>
      </c>
      <c r="AQ54" s="373">
        <v>-1905</v>
      </c>
      <c r="AR54" s="373">
        <f>-2000-14</f>
        <v>-2014</v>
      </c>
      <c r="AS54" s="374">
        <f>-1828-16</f>
        <v>-1844</v>
      </c>
      <c r="AT54" s="718"/>
    </row>
    <row r="55" spans="1:46" s="164" customFormat="1" ht="15" customHeight="1" x14ac:dyDescent="0.2">
      <c r="A55" s="173" t="s">
        <v>243</v>
      </c>
      <c r="B55" s="161">
        <f t="shared" ref="B55" si="12">SUM(B56:B58)</f>
        <v>2003</v>
      </c>
      <c r="C55" s="161">
        <f t="shared" ref="C55" si="13">SUM(C56:C58)</f>
        <v>2132</v>
      </c>
      <c r="D55" s="161">
        <f t="shared" ref="D55" si="14">SUM(D56:D58)</f>
        <v>2596</v>
      </c>
      <c r="E55" s="161">
        <f t="shared" ref="E55" si="15">SUM(E56:E58)</f>
        <v>2107</v>
      </c>
      <c r="F55" s="161">
        <f t="shared" ref="F55" si="16">SUM(F56:F58)</f>
        <v>2169</v>
      </c>
      <c r="G55" s="161">
        <f t="shared" ref="G55" si="17">SUM(G56:G58)</f>
        <v>2059</v>
      </c>
      <c r="H55" s="161">
        <f t="shared" ref="H55" si="18">SUM(H56:H58)</f>
        <v>1868</v>
      </c>
      <c r="I55" s="161">
        <f t="shared" ref="I55" si="19">SUM(I56:I58)</f>
        <v>1799</v>
      </c>
      <c r="J55" s="161">
        <f t="shared" ref="J55" si="20">SUM(J56:J58)</f>
        <v>1825</v>
      </c>
      <c r="K55" s="161">
        <f t="shared" ref="K55" si="21">SUM(K56:K58)</f>
        <v>1912</v>
      </c>
      <c r="L55" s="161">
        <f t="shared" ref="L55" si="22">SUM(L56:L58)</f>
        <v>1916</v>
      </c>
      <c r="M55" s="161">
        <f t="shared" ref="M55" si="23">SUM(M56:M58)</f>
        <v>1916</v>
      </c>
      <c r="N55" s="161">
        <f t="shared" ref="N55" si="24">SUM(N56:N58)</f>
        <v>1927</v>
      </c>
      <c r="O55" s="161">
        <f t="shared" ref="O55" si="25">SUM(O56:O58)</f>
        <v>1907</v>
      </c>
      <c r="P55" s="161">
        <f t="shared" ref="P55" si="26">SUM(P56:P58)</f>
        <v>1832</v>
      </c>
      <c r="Q55" s="161">
        <f t="shared" ref="Q55" si="27">SUM(Q56:Q58)</f>
        <v>1708</v>
      </c>
      <c r="R55" s="161">
        <f t="shared" ref="R55" si="28">SUM(R56:R58)</f>
        <v>1827</v>
      </c>
      <c r="S55" s="161">
        <f t="shared" ref="S55" si="29">SUM(S56:S58)</f>
        <v>2095</v>
      </c>
      <c r="T55" s="161">
        <f t="shared" ref="T55" si="30">SUM(T56:T58)</f>
        <v>2339</v>
      </c>
      <c r="U55" s="161">
        <f t="shared" ref="U55" si="31">SUM(U56:U58)</f>
        <v>2895</v>
      </c>
      <c r="V55" s="161">
        <f t="shared" ref="V55" si="32">SUM(V56:V58)</f>
        <v>3359</v>
      </c>
      <c r="W55" s="161">
        <f t="shared" ref="W55" si="33">SUM(W56:W58)</f>
        <v>4048</v>
      </c>
      <c r="X55" s="161">
        <f t="shared" ref="X55" si="34">SUM(X56:X58)</f>
        <v>4097</v>
      </c>
      <c r="Y55" s="161">
        <f t="shared" ref="Y55" si="35">SUM(Y56:Y58)</f>
        <v>4008</v>
      </c>
      <c r="Z55" s="161">
        <f t="shared" ref="Z55" si="36">SUM(Z56:Z58)</f>
        <v>4281</v>
      </c>
      <c r="AA55" s="161">
        <f t="shared" ref="AA55" si="37">SUM(AA56:AA58)</f>
        <v>4487</v>
      </c>
      <c r="AB55" s="161">
        <f t="shared" ref="AB55" si="38">SUM(AB56:AB58)</f>
        <v>4710</v>
      </c>
      <c r="AC55" s="161">
        <f t="shared" ref="AC55" si="39">SUM(AC56:AC58)</f>
        <v>4781</v>
      </c>
      <c r="AD55" s="161">
        <f t="shared" ref="AD55" si="40">SUM(AD56:AD58)</f>
        <v>4940</v>
      </c>
      <c r="AE55" s="161">
        <f t="shared" ref="AE55" si="41">SUM(AE56:AE58)</f>
        <v>4906</v>
      </c>
      <c r="AF55" s="161">
        <f t="shared" ref="AF55" si="42">SUM(AF56:AF58)</f>
        <v>4898</v>
      </c>
      <c r="AG55" s="161">
        <f t="shared" ref="AG55" si="43">SUM(AG56:AG58)</f>
        <v>4924</v>
      </c>
      <c r="AH55" s="161">
        <f t="shared" ref="AH55" si="44">SUM(AH56:AH58)</f>
        <v>4976</v>
      </c>
      <c r="AI55" s="161">
        <f t="shared" ref="AI55" si="45">SUM(AI56:AI58)</f>
        <v>4770</v>
      </c>
      <c r="AJ55" s="161">
        <f t="shared" ref="AJ55" si="46">SUM(AJ56:AJ58)</f>
        <v>4702</v>
      </c>
      <c r="AK55" s="161">
        <f t="shared" ref="AK55" si="47">SUM(AK56:AK58)</f>
        <v>5515</v>
      </c>
      <c r="AL55" s="161">
        <f t="shared" ref="AL55" si="48">SUM(AL56:AL58)</f>
        <v>5524</v>
      </c>
      <c r="AM55" s="161">
        <f t="shared" ref="AM55" si="49">SUM(AM56:AM58)</f>
        <v>5378</v>
      </c>
      <c r="AN55" s="161">
        <f t="shared" ref="AN55" si="50">SUM(AN56:AN58)</f>
        <v>5533</v>
      </c>
      <c r="AO55" s="161">
        <f>SUM(AO56:AO58)</f>
        <v>5310</v>
      </c>
      <c r="AP55" s="376">
        <f>SUM(AP56:AP58)</f>
        <v>5316</v>
      </c>
      <c r="AQ55" s="376">
        <f>SUM(AQ56:AQ58)</f>
        <v>4643</v>
      </c>
      <c r="AR55" s="376">
        <f>SUM(AR56:AR58)</f>
        <v>4409</v>
      </c>
      <c r="AS55" s="377">
        <f>SUM(AS56:AS58)</f>
        <v>4368</v>
      </c>
      <c r="AT55" s="718"/>
    </row>
    <row r="56" spans="1:46" s="164" customFormat="1" ht="15" customHeight="1" x14ac:dyDescent="0.2">
      <c r="A56" s="172" t="s">
        <v>244</v>
      </c>
      <c r="B56" s="165">
        <v>390</v>
      </c>
      <c r="C56" s="165">
        <v>375</v>
      </c>
      <c r="D56" s="165">
        <v>392</v>
      </c>
      <c r="E56" s="165">
        <v>390</v>
      </c>
      <c r="F56" s="165">
        <v>472</v>
      </c>
      <c r="G56" s="165">
        <v>565</v>
      </c>
      <c r="H56" s="166">
        <v>527</v>
      </c>
      <c r="I56" s="141">
        <v>546</v>
      </c>
      <c r="J56" s="166">
        <v>638</v>
      </c>
      <c r="K56" s="166">
        <v>679</v>
      </c>
      <c r="L56" s="166">
        <v>750</v>
      </c>
      <c r="M56" s="166">
        <v>730</v>
      </c>
      <c r="N56" s="166">
        <v>775</v>
      </c>
      <c r="O56" s="166">
        <v>779</v>
      </c>
      <c r="P56" s="166">
        <v>735</v>
      </c>
      <c r="Q56" s="166">
        <v>682</v>
      </c>
      <c r="R56" s="166">
        <v>659</v>
      </c>
      <c r="S56" s="166">
        <v>652</v>
      </c>
      <c r="T56" s="166">
        <v>677</v>
      </c>
      <c r="U56" s="166">
        <v>1045</v>
      </c>
      <c r="V56" s="166">
        <v>1070</v>
      </c>
      <c r="W56" s="166">
        <v>1163</v>
      </c>
      <c r="X56" s="166">
        <v>1260</v>
      </c>
      <c r="Y56" s="166">
        <v>1101</v>
      </c>
      <c r="Z56" s="166">
        <v>1186</v>
      </c>
      <c r="AA56" s="166">
        <v>1293</v>
      </c>
      <c r="AB56" s="166">
        <v>1438</v>
      </c>
      <c r="AC56" s="166">
        <v>1481</v>
      </c>
      <c r="AD56" s="166">
        <v>1565</v>
      </c>
      <c r="AE56" s="166">
        <v>1661</v>
      </c>
      <c r="AF56" s="166">
        <v>1738</v>
      </c>
      <c r="AG56" s="166">
        <v>1766</v>
      </c>
      <c r="AH56" s="166">
        <v>1791</v>
      </c>
      <c r="AI56" s="166">
        <v>1881</v>
      </c>
      <c r="AJ56" s="166">
        <v>2015</v>
      </c>
      <c r="AK56" s="166">
        <v>2173</v>
      </c>
      <c r="AL56" s="166">
        <v>2354</v>
      </c>
      <c r="AM56" s="166">
        <v>2504</v>
      </c>
      <c r="AN56" s="166">
        <v>2788</v>
      </c>
      <c r="AO56" s="166">
        <v>2868</v>
      </c>
      <c r="AP56" s="373">
        <v>3016</v>
      </c>
      <c r="AQ56" s="373">
        <v>2971</v>
      </c>
      <c r="AR56" s="373">
        <v>2990</v>
      </c>
      <c r="AS56" s="374">
        <v>2933</v>
      </c>
      <c r="AT56" s="718"/>
    </row>
    <row r="57" spans="1:46" s="164" customFormat="1" ht="15" customHeight="1" x14ac:dyDescent="0.2">
      <c r="A57" s="139" t="s">
        <v>245</v>
      </c>
      <c r="B57" s="165">
        <v>-190</v>
      </c>
      <c r="C57" s="165">
        <v>-183</v>
      </c>
      <c r="D57" s="165">
        <v>-178</v>
      </c>
      <c r="E57" s="165">
        <v>-179</v>
      </c>
      <c r="F57" s="165">
        <v>-195</v>
      </c>
      <c r="G57" s="165">
        <v>-212</v>
      </c>
      <c r="H57" s="166">
        <v>-197</v>
      </c>
      <c r="I57" s="141">
        <v>-205</v>
      </c>
      <c r="J57" s="166">
        <v>-237</v>
      </c>
      <c r="K57" s="166">
        <v>-246</v>
      </c>
      <c r="L57" s="166">
        <v>-260</v>
      </c>
      <c r="M57" s="166">
        <v>-253</v>
      </c>
      <c r="N57" s="166">
        <v>-256</v>
      </c>
      <c r="O57" s="166">
        <v>-257</v>
      </c>
      <c r="P57" s="166">
        <v>-259</v>
      </c>
      <c r="Q57" s="166">
        <v>-247</v>
      </c>
      <c r="R57" s="166">
        <v>-230</v>
      </c>
      <c r="S57" s="166">
        <v>-226</v>
      </c>
      <c r="T57" s="166">
        <v>-222</v>
      </c>
      <c r="U57" s="166">
        <v>-522</v>
      </c>
      <c r="V57" s="166">
        <v>-527</v>
      </c>
      <c r="W57" s="166">
        <v>-580</v>
      </c>
      <c r="X57" s="166">
        <v>-622</v>
      </c>
      <c r="Y57" s="166">
        <v>-475</v>
      </c>
      <c r="Z57" s="166">
        <v>-481</v>
      </c>
      <c r="AA57" s="166">
        <v>-520</v>
      </c>
      <c r="AB57" s="166">
        <v>-540</v>
      </c>
      <c r="AC57" s="166">
        <v>-562</v>
      </c>
      <c r="AD57" s="166">
        <v>-603</v>
      </c>
      <c r="AE57" s="166">
        <v>-647</v>
      </c>
      <c r="AF57" s="166">
        <v>-653</v>
      </c>
      <c r="AG57" s="166">
        <v>-699</v>
      </c>
      <c r="AH57" s="166">
        <v>-670</v>
      </c>
      <c r="AI57" s="166">
        <v>-720</v>
      </c>
      <c r="AJ57" s="166">
        <v>-776</v>
      </c>
      <c r="AK57" s="166">
        <v>-871</v>
      </c>
      <c r="AL57" s="166">
        <v>-926</v>
      </c>
      <c r="AM57" s="166">
        <v>-950</v>
      </c>
      <c r="AN57" s="166">
        <v>-1188</v>
      </c>
      <c r="AO57" s="166">
        <v>-1257</v>
      </c>
      <c r="AP57" s="373">
        <f>-1292</f>
        <v>-1292</v>
      </c>
      <c r="AQ57" s="373">
        <v>-1320</v>
      </c>
      <c r="AR57" s="373">
        <v>-1365</v>
      </c>
      <c r="AS57" s="374">
        <v>-1389</v>
      </c>
      <c r="AT57" s="718"/>
    </row>
    <row r="58" spans="1:46" s="164" customFormat="1" ht="15" customHeight="1" x14ac:dyDescent="0.2">
      <c r="A58" s="139" t="s">
        <v>246</v>
      </c>
      <c r="B58" s="165">
        <v>1803</v>
      </c>
      <c r="C58" s="165">
        <v>1940</v>
      </c>
      <c r="D58" s="165">
        <v>2382</v>
      </c>
      <c r="E58" s="165">
        <v>1896</v>
      </c>
      <c r="F58" s="165">
        <v>1892</v>
      </c>
      <c r="G58" s="165">
        <v>1706</v>
      </c>
      <c r="H58" s="166">
        <v>1538</v>
      </c>
      <c r="I58" s="141">
        <v>1458</v>
      </c>
      <c r="J58" s="166">
        <v>1424</v>
      </c>
      <c r="K58" s="166">
        <v>1479</v>
      </c>
      <c r="L58" s="166">
        <v>1426</v>
      </c>
      <c r="M58" s="166">
        <v>1439</v>
      </c>
      <c r="N58" s="166">
        <v>1408</v>
      </c>
      <c r="O58" s="166">
        <v>1385</v>
      </c>
      <c r="P58" s="166">
        <v>1356</v>
      </c>
      <c r="Q58" s="166">
        <v>1273</v>
      </c>
      <c r="R58" s="166">
        <v>1398</v>
      </c>
      <c r="S58" s="166">
        <v>1669</v>
      </c>
      <c r="T58" s="166">
        <v>1884</v>
      </c>
      <c r="U58" s="166">
        <v>2372</v>
      </c>
      <c r="V58" s="166">
        <v>2816</v>
      </c>
      <c r="W58" s="166">
        <v>3465</v>
      </c>
      <c r="X58" s="166">
        <v>3459</v>
      </c>
      <c r="Y58" s="166">
        <v>3382</v>
      </c>
      <c r="Z58" s="166">
        <v>3576</v>
      </c>
      <c r="AA58" s="166">
        <v>3714</v>
      </c>
      <c r="AB58" s="166">
        <v>3812</v>
      </c>
      <c r="AC58" s="166">
        <v>3862</v>
      </c>
      <c r="AD58" s="166">
        <v>3978</v>
      </c>
      <c r="AE58" s="166">
        <v>3892</v>
      </c>
      <c r="AF58" s="166">
        <v>3813</v>
      </c>
      <c r="AG58" s="166">
        <v>3857</v>
      </c>
      <c r="AH58" s="166">
        <v>3855</v>
      </c>
      <c r="AI58" s="166">
        <v>3609</v>
      </c>
      <c r="AJ58" s="166">
        <v>3463</v>
      </c>
      <c r="AK58" s="166">
        <v>4213</v>
      </c>
      <c r="AL58" s="166">
        <v>4096</v>
      </c>
      <c r="AM58" s="166">
        <v>3824</v>
      </c>
      <c r="AN58" s="166">
        <v>3933</v>
      </c>
      <c r="AO58" s="166">
        <v>3699</v>
      </c>
      <c r="AP58" s="373">
        <v>3592</v>
      </c>
      <c r="AQ58" s="373">
        <v>2992</v>
      </c>
      <c r="AR58" s="373">
        <f>1875+909</f>
        <v>2784</v>
      </c>
      <c r="AS58" s="374">
        <v>2824</v>
      </c>
      <c r="AT58" s="718"/>
    </row>
    <row r="59" spans="1:46" s="164" customFormat="1" ht="15" customHeight="1" x14ac:dyDescent="0.2">
      <c r="A59" s="173" t="s">
        <v>247</v>
      </c>
      <c r="B59" s="161">
        <f t="shared" ref="B59:AN59" si="51">B60+B65+B69+B72+B75</f>
        <v>3557</v>
      </c>
      <c r="C59" s="161">
        <f t="shared" si="51"/>
        <v>3498</v>
      </c>
      <c r="D59" s="161">
        <f t="shared" si="51"/>
        <v>3539</v>
      </c>
      <c r="E59" s="161">
        <f t="shared" si="51"/>
        <v>4923</v>
      </c>
      <c r="F59" s="161">
        <f t="shared" si="51"/>
        <v>5298</v>
      </c>
      <c r="G59" s="161">
        <f t="shared" si="51"/>
        <v>5486</v>
      </c>
      <c r="H59" s="161">
        <f t="shared" si="51"/>
        <v>6500</v>
      </c>
      <c r="I59" s="161">
        <f t="shared" si="51"/>
        <v>7611</v>
      </c>
      <c r="J59" s="161">
        <f t="shared" si="51"/>
        <v>8017</v>
      </c>
      <c r="K59" s="161">
        <f t="shared" si="51"/>
        <v>8177</v>
      </c>
      <c r="L59" s="161">
        <f t="shared" si="51"/>
        <v>8228</v>
      </c>
      <c r="M59" s="161">
        <f t="shared" si="51"/>
        <v>10194</v>
      </c>
      <c r="N59" s="161">
        <f t="shared" si="51"/>
        <v>9917</v>
      </c>
      <c r="O59" s="161">
        <f t="shared" si="51"/>
        <v>10232</v>
      </c>
      <c r="P59" s="161">
        <f t="shared" si="51"/>
        <v>10723</v>
      </c>
      <c r="Q59" s="161">
        <f t="shared" si="51"/>
        <v>11702</v>
      </c>
      <c r="R59" s="161">
        <f t="shared" si="51"/>
        <v>11788</v>
      </c>
      <c r="S59" s="161">
        <f t="shared" si="51"/>
        <v>11736</v>
      </c>
      <c r="T59" s="161">
        <f t="shared" si="51"/>
        <v>12051</v>
      </c>
      <c r="U59" s="161">
        <f t="shared" si="51"/>
        <v>15443</v>
      </c>
      <c r="V59" s="161">
        <f t="shared" si="51"/>
        <v>15654</v>
      </c>
      <c r="W59" s="161">
        <f t="shared" si="51"/>
        <v>15457</v>
      </c>
      <c r="X59" s="161">
        <f t="shared" si="51"/>
        <v>15993</v>
      </c>
      <c r="Y59" s="161">
        <f t="shared" si="51"/>
        <v>14813</v>
      </c>
      <c r="Z59" s="161">
        <f t="shared" si="51"/>
        <v>15275</v>
      </c>
      <c r="AA59" s="161">
        <f t="shared" si="51"/>
        <v>15576</v>
      </c>
      <c r="AB59" s="161">
        <f t="shared" si="51"/>
        <v>15331</v>
      </c>
      <c r="AC59" s="161">
        <f t="shared" si="51"/>
        <v>15644</v>
      </c>
      <c r="AD59" s="161">
        <f t="shared" si="51"/>
        <v>15469</v>
      </c>
      <c r="AE59" s="161">
        <f t="shared" si="51"/>
        <v>15146</v>
      </c>
      <c r="AF59" s="161">
        <f t="shared" si="51"/>
        <v>15049</v>
      </c>
      <c r="AG59" s="161">
        <f t="shared" si="51"/>
        <v>15070</v>
      </c>
      <c r="AH59" s="161">
        <f t="shared" si="51"/>
        <v>19381</v>
      </c>
      <c r="AI59" s="161">
        <f t="shared" si="51"/>
        <v>19163</v>
      </c>
      <c r="AJ59" s="161">
        <f t="shared" si="51"/>
        <v>19095</v>
      </c>
      <c r="AK59" s="161">
        <f t="shared" si="51"/>
        <v>19986</v>
      </c>
      <c r="AL59" s="161">
        <f t="shared" si="51"/>
        <v>19631</v>
      </c>
      <c r="AM59" s="161">
        <f t="shared" si="51"/>
        <v>19364</v>
      </c>
      <c r="AN59" s="161">
        <f t="shared" si="51"/>
        <v>30660</v>
      </c>
      <c r="AO59" s="161">
        <f>AO60+AO65+AO69+AO72+AO75</f>
        <v>31285</v>
      </c>
      <c r="AP59" s="376">
        <f>AP60+AP65+AP69+AP72+AP75</f>
        <v>30192</v>
      </c>
      <c r="AQ59" s="376">
        <f>AQ60+AQ65+AQ69+AQ72+AQ75</f>
        <v>29186</v>
      </c>
      <c r="AR59" s="376">
        <f>AR60+AR65+AR69+AR72+AR75</f>
        <v>29838</v>
      </c>
      <c r="AS59" s="377">
        <f>AS60+AS65+AS69+AS72+AS75</f>
        <v>30435</v>
      </c>
      <c r="AT59" s="718"/>
    </row>
    <row r="60" spans="1:46" s="164" customFormat="1" ht="15" customHeight="1" x14ac:dyDescent="0.2">
      <c r="A60" s="173" t="s">
        <v>248</v>
      </c>
      <c r="B60" s="161">
        <f t="shared" ref="B60:AN60" si="52">SUM(B62:B64)</f>
        <v>661</v>
      </c>
      <c r="C60" s="161">
        <f t="shared" si="52"/>
        <v>585</v>
      </c>
      <c r="D60" s="161">
        <f t="shared" si="52"/>
        <v>605</v>
      </c>
      <c r="E60" s="161">
        <f t="shared" si="52"/>
        <v>604</v>
      </c>
      <c r="F60" s="161">
        <f t="shared" si="52"/>
        <v>743</v>
      </c>
      <c r="G60" s="161">
        <f t="shared" si="52"/>
        <v>784</v>
      </c>
      <c r="H60" s="161">
        <f t="shared" si="52"/>
        <v>823</v>
      </c>
      <c r="I60" s="161">
        <f t="shared" si="52"/>
        <v>1048</v>
      </c>
      <c r="J60" s="161">
        <f t="shared" si="52"/>
        <v>1400</v>
      </c>
      <c r="K60" s="161">
        <f t="shared" si="52"/>
        <v>1359</v>
      </c>
      <c r="L60" s="161">
        <f t="shared" si="52"/>
        <v>1392</v>
      </c>
      <c r="M60" s="161">
        <f t="shared" si="52"/>
        <v>1548</v>
      </c>
      <c r="N60" s="161">
        <f t="shared" si="52"/>
        <v>1537</v>
      </c>
      <c r="O60" s="161">
        <f t="shared" si="52"/>
        <v>1553</v>
      </c>
      <c r="P60" s="161">
        <f t="shared" si="52"/>
        <v>1616</v>
      </c>
      <c r="Q60" s="161">
        <f t="shared" si="52"/>
        <v>1577</v>
      </c>
      <c r="R60" s="161">
        <f t="shared" si="52"/>
        <v>1675</v>
      </c>
      <c r="S60" s="161">
        <f t="shared" si="52"/>
        <v>1699</v>
      </c>
      <c r="T60" s="161">
        <f t="shared" si="52"/>
        <v>1721</v>
      </c>
      <c r="U60" s="161">
        <f t="shared" si="52"/>
        <v>2052</v>
      </c>
      <c r="V60" s="161">
        <f t="shared" si="52"/>
        <v>2076</v>
      </c>
      <c r="W60" s="161">
        <f t="shared" si="52"/>
        <v>1889</v>
      </c>
      <c r="X60" s="161">
        <f t="shared" si="52"/>
        <v>1907</v>
      </c>
      <c r="Y60" s="161">
        <f t="shared" si="52"/>
        <v>1865</v>
      </c>
      <c r="Z60" s="161">
        <f t="shared" si="52"/>
        <v>1867</v>
      </c>
      <c r="AA60" s="161">
        <f t="shared" si="52"/>
        <v>1920</v>
      </c>
      <c r="AB60" s="161">
        <f t="shared" si="52"/>
        <v>1910</v>
      </c>
      <c r="AC60" s="161">
        <f t="shared" si="52"/>
        <v>1830</v>
      </c>
      <c r="AD60" s="161">
        <f t="shared" si="52"/>
        <v>1871</v>
      </c>
      <c r="AE60" s="161">
        <f t="shared" si="52"/>
        <v>1887</v>
      </c>
      <c r="AF60" s="161">
        <f t="shared" si="52"/>
        <v>1931</v>
      </c>
      <c r="AG60" s="161">
        <f t="shared" si="52"/>
        <v>1712</v>
      </c>
      <c r="AH60" s="161">
        <f t="shared" si="52"/>
        <v>1636</v>
      </c>
      <c r="AI60" s="161">
        <f t="shared" si="52"/>
        <v>1669</v>
      </c>
      <c r="AJ60" s="161">
        <f t="shared" si="52"/>
        <v>1710</v>
      </c>
      <c r="AK60" s="161">
        <f t="shared" si="52"/>
        <v>1587</v>
      </c>
      <c r="AL60" s="161">
        <f t="shared" si="52"/>
        <v>1520</v>
      </c>
      <c r="AM60" s="161">
        <f t="shared" si="52"/>
        <v>1538</v>
      </c>
      <c r="AN60" s="161">
        <f t="shared" si="52"/>
        <v>1638</v>
      </c>
      <c r="AO60" s="161">
        <f>SUM(AO62:AO64)</f>
        <v>1778</v>
      </c>
      <c r="AP60" s="376">
        <f>SUM(AP62:AP64)</f>
        <v>1726</v>
      </c>
      <c r="AQ60" s="376">
        <f>SUM(AQ62:AQ64)</f>
        <v>1779</v>
      </c>
      <c r="AR60" s="376">
        <f>SUM(AR62:AR64)</f>
        <v>2144</v>
      </c>
      <c r="AS60" s="377">
        <f>SUM(AS62:AS64)</f>
        <v>2181</v>
      </c>
      <c r="AT60" s="718"/>
    </row>
    <row r="61" spans="1:46" s="164" customFormat="1" ht="15" customHeight="1" x14ac:dyDescent="0.2">
      <c r="A61" s="143" t="s">
        <v>646</v>
      </c>
      <c r="B61" s="168"/>
      <c r="C61" s="168"/>
      <c r="D61" s="168"/>
      <c r="E61" s="168"/>
      <c r="F61" s="165"/>
      <c r="G61" s="165"/>
      <c r="H61" s="166"/>
      <c r="I61" s="141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6"/>
      <c r="AE61" s="166"/>
      <c r="AF61" s="166"/>
      <c r="AG61" s="166"/>
      <c r="AH61" s="166"/>
      <c r="AI61" s="166"/>
      <c r="AJ61" s="166"/>
      <c r="AK61" s="166"/>
      <c r="AL61" s="166"/>
      <c r="AM61" s="166"/>
      <c r="AN61" s="166"/>
      <c r="AO61" s="166"/>
      <c r="AP61" s="373"/>
      <c r="AQ61" s="373"/>
      <c r="AR61" s="373"/>
      <c r="AS61" s="374"/>
      <c r="AT61" s="718"/>
    </row>
    <row r="62" spans="1:46" s="164" customFormat="1" ht="15" customHeight="1" x14ac:dyDescent="0.2">
      <c r="A62" s="139" t="s">
        <v>249</v>
      </c>
      <c r="B62" s="165">
        <v>410</v>
      </c>
      <c r="C62" s="165">
        <v>427</v>
      </c>
      <c r="D62" s="165">
        <v>444</v>
      </c>
      <c r="E62" s="165">
        <v>468</v>
      </c>
      <c r="F62" s="165">
        <v>525</v>
      </c>
      <c r="G62" s="165">
        <v>559</v>
      </c>
      <c r="H62" s="166">
        <v>577</v>
      </c>
      <c r="I62" s="141">
        <v>592</v>
      </c>
      <c r="J62" s="166">
        <v>921</v>
      </c>
      <c r="K62" s="166">
        <v>916</v>
      </c>
      <c r="L62" s="166">
        <v>953</v>
      </c>
      <c r="M62" s="166">
        <v>1063</v>
      </c>
      <c r="N62" s="166">
        <v>1056</v>
      </c>
      <c r="O62" s="166">
        <v>1072</v>
      </c>
      <c r="P62" s="166">
        <v>1134</v>
      </c>
      <c r="Q62" s="166">
        <v>1153</v>
      </c>
      <c r="R62" s="166">
        <v>1151</v>
      </c>
      <c r="S62" s="166">
        <v>1165</v>
      </c>
      <c r="T62" s="166">
        <v>1192</v>
      </c>
      <c r="U62" s="166">
        <v>1377</v>
      </c>
      <c r="V62" s="166">
        <v>1404</v>
      </c>
      <c r="W62" s="166">
        <v>1392</v>
      </c>
      <c r="X62" s="166">
        <v>1415</v>
      </c>
      <c r="Y62" s="166">
        <v>1363</v>
      </c>
      <c r="Z62" s="166">
        <v>1361</v>
      </c>
      <c r="AA62" s="166">
        <v>1440</v>
      </c>
      <c r="AB62" s="166">
        <v>1430</v>
      </c>
      <c r="AC62" s="166">
        <v>1412</v>
      </c>
      <c r="AD62" s="166">
        <v>1457</v>
      </c>
      <c r="AE62" s="166">
        <v>1471</v>
      </c>
      <c r="AF62" s="166">
        <v>1515</v>
      </c>
      <c r="AG62" s="166">
        <v>1553</v>
      </c>
      <c r="AH62" s="166">
        <v>1473</v>
      </c>
      <c r="AI62" s="166">
        <v>1508</v>
      </c>
      <c r="AJ62" s="166">
        <v>1546</v>
      </c>
      <c r="AK62" s="166">
        <v>1424</v>
      </c>
      <c r="AL62" s="166">
        <v>1356</v>
      </c>
      <c r="AM62" s="166">
        <v>1373</v>
      </c>
      <c r="AN62" s="166">
        <v>1464</v>
      </c>
      <c r="AO62" s="166">
        <v>1604</v>
      </c>
      <c r="AP62" s="373">
        <v>1554</v>
      </c>
      <c r="AQ62" s="373">
        <v>1609</v>
      </c>
      <c r="AR62" s="373">
        <v>1974</v>
      </c>
      <c r="AS62" s="374">
        <v>2012</v>
      </c>
      <c r="AT62" s="718"/>
    </row>
    <row r="63" spans="1:46" s="164" customFormat="1" ht="15" customHeight="1" x14ac:dyDescent="0.2">
      <c r="A63" s="139" t="s">
        <v>250</v>
      </c>
      <c r="B63" s="165">
        <v>610</v>
      </c>
      <c r="C63" s="165">
        <v>518</v>
      </c>
      <c r="D63" s="165">
        <v>521</v>
      </c>
      <c r="E63" s="165">
        <v>487</v>
      </c>
      <c r="F63" s="165">
        <v>564</v>
      </c>
      <c r="G63" s="165">
        <v>576</v>
      </c>
      <c r="H63" s="166">
        <v>596</v>
      </c>
      <c r="I63" s="141">
        <v>806</v>
      </c>
      <c r="J63" s="166">
        <v>829</v>
      </c>
      <c r="K63" s="166">
        <v>793</v>
      </c>
      <c r="L63" s="166">
        <v>718</v>
      </c>
      <c r="M63" s="166">
        <v>768</v>
      </c>
      <c r="N63" s="166">
        <v>762</v>
      </c>
      <c r="O63" s="166">
        <v>763</v>
      </c>
      <c r="P63" s="166">
        <v>764</v>
      </c>
      <c r="Q63" s="166">
        <v>687</v>
      </c>
      <c r="R63" s="166">
        <v>787</v>
      </c>
      <c r="S63" s="166">
        <v>797</v>
      </c>
      <c r="T63" s="166">
        <v>792</v>
      </c>
      <c r="U63" s="166">
        <v>938</v>
      </c>
      <c r="V63" s="166">
        <v>935</v>
      </c>
      <c r="W63" s="166">
        <v>771</v>
      </c>
      <c r="X63" s="166">
        <v>766</v>
      </c>
      <c r="Y63" s="166">
        <v>776</v>
      </c>
      <c r="Z63" s="166">
        <v>780</v>
      </c>
      <c r="AA63" s="166">
        <v>754</v>
      </c>
      <c r="AB63" s="166">
        <v>754</v>
      </c>
      <c r="AC63" s="166">
        <v>692</v>
      </c>
      <c r="AD63" s="166">
        <v>688</v>
      </c>
      <c r="AE63" s="166">
        <v>690</v>
      </c>
      <c r="AF63" s="166">
        <v>690</v>
      </c>
      <c r="AG63" s="166">
        <v>433</v>
      </c>
      <c r="AH63" s="166">
        <v>437</v>
      </c>
      <c r="AI63" s="166">
        <v>430</v>
      </c>
      <c r="AJ63" s="166">
        <v>415</v>
      </c>
      <c r="AK63" s="166">
        <v>414</v>
      </c>
      <c r="AL63" s="166">
        <v>415</v>
      </c>
      <c r="AM63" s="166">
        <v>413</v>
      </c>
      <c r="AN63" s="166">
        <v>429</v>
      </c>
      <c r="AO63" s="166">
        <v>428</v>
      </c>
      <c r="AP63" s="373">
        <v>427</v>
      </c>
      <c r="AQ63" s="373">
        <v>425</v>
      </c>
      <c r="AR63" s="373">
        <v>425</v>
      </c>
      <c r="AS63" s="374">
        <v>424</v>
      </c>
      <c r="AT63" s="718"/>
    </row>
    <row r="64" spans="1:46" s="164" customFormat="1" ht="15" customHeight="1" x14ac:dyDescent="0.2">
      <c r="A64" s="139" t="s">
        <v>251</v>
      </c>
      <c r="B64" s="165">
        <v>-359</v>
      </c>
      <c r="C64" s="165">
        <v>-360</v>
      </c>
      <c r="D64" s="165">
        <v>-360</v>
      </c>
      <c r="E64" s="165">
        <v>-351</v>
      </c>
      <c r="F64" s="165">
        <v>-346</v>
      </c>
      <c r="G64" s="165">
        <v>-351</v>
      </c>
      <c r="H64" s="166">
        <v>-350</v>
      </c>
      <c r="I64" s="141">
        <v>-350</v>
      </c>
      <c r="J64" s="166">
        <v>-350</v>
      </c>
      <c r="K64" s="166">
        <v>-350</v>
      </c>
      <c r="L64" s="166">
        <v>-279</v>
      </c>
      <c r="M64" s="166">
        <v>-283</v>
      </c>
      <c r="N64" s="166">
        <v>-281</v>
      </c>
      <c r="O64" s="166">
        <v>-282</v>
      </c>
      <c r="P64" s="166">
        <v>-282</v>
      </c>
      <c r="Q64" s="166">
        <v>-263</v>
      </c>
      <c r="R64" s="166">
        <v>-263</v>
      </c>
      <c r="S64" s="166">
        <v>-263</v>
      </c>
      <c r="T64" s="166">
        <v>-263</v>
      </c>
      <c r="U64" s="166">
        <v>-263</v>
      </c>
      <c r="V64" s="166">
        <v>-263</v>
      </c>
      <c r="W64" s="166">
        <v>-274</v>
      </c>
      <c r="X64" s="166">
        <v>-274</v>
      </c>
      <c r="Y64" s="166">
        <v>-274</v>
      </c>
      <c r="Z64" s="166">
        <v>-274</v>
      </c>
      <c r="AA64" s="166">
        <v>-274</v>
      </c>
      <c r="AB64" s="166">
        <v>-274</v>
      </c>
      <c r="AC64" s="166">
        <v>-274</v>
      </c>
      <c r="AD64" s="166">
        <v>-274</v>
      </c>
      <c r="AE64" s="166">
        <v>-274</v>
      </c>
      <c r="AF64" s="166">
        <v>-274</v>
      </c>
      <c r="AG64" s="166">
        <v>-274</v>
      </c>
      <c r="AH64" s="166">
        <v>-274</v>
      </c>
      <c r="AI64" s="166">
        <v>-269</v>
      </c>
      <c r="AJ64" s="166">
        <v>-251</v>
      </c>
      <c r="AK64" s="166">
        <v>-251</v>
      </c>
      <c r="AL64" s="166">
        <v>-251</v>
      </c>
      <c r="AM64" s="166">
        <v>-248</v>
      </c>
      <c r="AN64" s="166">
        <v>-255</v>
      </c>
      <c r="AO64" s="166">
        <v>-254</v>
      </c>
      <c r="AP64" s="373">
        <v>-255</v>
      </c>
      <c r="AQ64" s="373">
        <v>-255</v>
      </c>
      <c r="AR64" s="373">
        <v>-255</v>
      </c>
      <c r="AS64" s="374">
        <v>-255</v>
      </c>
      <c r="AT64" s="718"/>
    </row>
    <row r="65" spans="1:47" s="164" customFormat="1" ht="15" customHeight="1" x14ac:dyDescent="0.2">
      <c r="A65" s="145" t="s">
        <v>252</v>
      </c>
      <c r="B65" s="161">
        <f t="shared" ref="B65:AN65" si="53">SUM(B66:B68)</f>
        <v>2216</v>
      </c>
      <c r="C65" s="161">
        <f t="shared" si="53"/>
        <v>2188</v>
      </c>
      <c r="D65" s="161">
        <f t="shared" si="53"/>
        <v>2196</v>
      </c>
      <c r="E65" s="161">
        <f t="shared" si="53"/>
        <v>2092</v>
      </c>
      <c r="F65" s="161">
        <f t="shared" si="53"/>
        <v>2103</v>
      </c>
      <c r="G65" s="161">
        <f t="shared" si="53"/>
        <v>2189</v>
      </c>
      <c r="H65" s="161">
        <f t="shared" si="53"/>
        <v>2298</v>
      </c>
      <c r="I65" s="161">
        <f t="shared" si="53"/>
        <v>3237</v>
      </c>
      <c r="J65" s="161">
        <f t="shared" si="53"/>
        <v>3275</v>
      </c>
      <c r="K65" s="161">
        <f t="shared" si="53"/>
        <v>3284</v>
      </c>
      <c r="L65" s="161">
        <f t="shared" si="53"/>
        <v>3258</v>
      </c>
      <c r="M65" s="161">
        <f t="shared" si="53"/>
        <v>3406</v>
      </c>
      <c r="N65" s="161">
        <f t="shared" si="53"/>
        <v>3236</v>
      </c>
      <c r="O65" s="161">
        <f t="shared" si="53"/>
        <v>3421</v>
      </c>
      <c r="P65" s="161">
        <f t="shared" si="53"/>
        <v>3396</v>
      </c>
      <c r="Q65" s="161">
        <f t="shared" si="53"/>
        <v>3762</v>
      </c>
      <c r="R65" s="161">
        <f t="shared" si="53"/>
        <v>3663</v>
      </c>
      <c r="S65" s="161">
        <f t="shared" si="53"/>
        <v>3656</v>
      </c>
      <c r="T65" s="161">
        <f t="shared" si="53"/>
        <v>3811</v>
      </c>
      <c r="U65" s="161">
        <f t="shared" si="53"/>
        <v>4413</v>
      </c>
      <c r="V65" s="161">
        <f t="shared" si="53"/>
        <v>4551</v>
      </c>
      <c r="W65" s="161">
        <f t="shared" si="53"/>
        <v>4523</v>
      </c>
      <c r="X65" s="161">
        <f t="shared" si="53"/>
        <v>4500</v>
      </c>
      <c r="Y65" s="161">
        <f t="shared" si="53"/>
        <v>4678</v>
      </c>
      <c r="Z65" s="161">
        <f t="shared" si="53"/>
        <v>4550</v>
      </c>
      <c r="AA65" s="161">
        <f t="shared" si="53"/>
        <v>4464</v>
      </c>
      <c r="AB65" s="161">
        <f t="shared" si="53"/>
        <v>4392</v>
      </c>
      <c r="AC65" s="161">
        <f t="shared" si="53"/>
        <v>4668</v>
      </c>
      <c r="AD65" s="161">
        <f t="shared" si="53"/>
        <v>4597</v>
      </c>
      <c r="AE65" s="161">
        <f t="shared" si="53"/>
        <v>4579</v>
      </c>
      <c r="AF65" s="161">
        <f t="shared" si="53"/>
        <v>4591</v>
      </c>
      <c r="AG65" s="161">
        <f t="shared" si="53"/>
        <v>4887</v>
      </c>
      <c r="AH65" s="161">
        <f t="shared" si="53"/>
        <v>4952</v>
      </c>
      <c r="AI65" s="161">
        <f t="shared" si="53"/>
        <v>4940</v>
      </c>
      <c r="AJ65" s="161">
        <f t="shared" si="53"/>
        <v>5000</v>
      </c>
      <c r="AK65" s="161">
        <f t="shared" si="53"/>
        <v>5771</v>
      </c>
      <c r="AL65" s="161">
        <f t="shared" si="53"/>
        <v>5779</v>
      </c>
      <c r="AM65" s="161">
        <f t="shared" si="53"/>
        <v>5682</v>
      </c>
      <c r="AN65" s="161">
        <f t="shared" si="53"/>
        <v>6931</v>
      </c>
      <c r="AO65" s="161">
        <f>SUM(AO66:AO68)</f>
        <v>7965</v>
      </c>
      <c r="AP65" s="376">
        <f>SUM(AP66:AP68)</f>
        <v>7803</v>
      </c>
      <c r="AQ65" s="376">
        <f>SUM(AQ66:AQ68)</f>
        <v>7573</v>
      </c>
      <c r="AR65" s="376">
        <f>SUM(AR66:AR68)</f>
        <v>7453</v>
      </c>
      <c r="AS65" s="377">
        <f>SUM(AS66:AS68)</f>
        <v>7949</v>
      </c>
      <c r="AT65" s="718"/>
    </row>
    <row r="66" spans="1:47" s="164" customFormat="1" ht="15" customHeight="1" x14ac:dyDescent="0.2">
      <c r="A66" s="139" t="s">
        <v>253</v>
      </c>
      <c r="B66" s="165">
        <v>1061</v>
      </c>
      <c r="C66" s="165">
        <v>1047</v>
      </c>
      <c r="D66" s="165">
        <v>1018</v>
      </c>
      <c r="E66" s="165">
        <v>1076</v>
      </c>
      <c r="F66" s="165">
        <v>1084</v>
      </c>
      <c r="G66" s="165">
        <v>1096</v>
      </c>
      <c r="H66" s="166">
        <v>1046</v>
      </c>
      <c r="I66" s="141">
        <v>1043</v>
      </c>
      <c r="J66" s="166">
        <v>1030</v>
      </c>
      <c r="K66" s="166">
        <v>1026</v>
      </c>
      <c r="L66" s="166">
        <v>1025</v>
      </c>
      <c r="M66" s="166">
        <v>1024</v>
      </c>
      <c r="N66" s="166">
        <v>1023</v>
      </c>
      <c r="O66" s="166">
        <v>1025</v>
      </c>
      <c r="P66" s="166">
        <v>965</v>
      </c>
      <c r="Q66" s="166">
        <v>1112</v>
      </c>
      <c r="R66" s="166">
        <v>1114</v>
      </c>
      <c r="S66" s="166">
        <v>1136</v>
      </c>
      <c r="T66" s="166">
        <v>1179</v>
      </c>
      <c r="U66" s="166">
        <v>1205</v>
      </c>
      <c r="V66" s="166">
        <v>1249</v>
      </c>
      <c r="W66" s="166">
        <v>1268</v>
      </c>
      <c r="X66" s="166">
        <v>1290</v>
      </c>
      <c r="Y66" s="166">
        <v>1314</v>
      </c>
      <c r="Z66" s="166">
        <v>1330</v>
      </c>
      <c r="AA66" s="166">
        <v>1342</v>
      </c>
      <c r="AB66" s="166">
        <v>1358</v>
      </c>
      <c r="AC66" s="166">
        <v>1441</v>
      </c>
      <c r="AD66" s="166">
        <v>1450</v>
      </c>
      <c r="AE66" s="166">
        <v>1464</v>
      </c>
      <c r="AF66" s="166">
        <v>1472</v>
      </c>
      <c r="AG66" s="166">
        <v>1478</v>
      </c>
      <c r="AH66" s="166">
        <v>1501</v>
      </c>
      <c r="AI66" s="166">
        <v>1519</v>
      </c>
      <c r="AJ66" s="166">
        <v>1527</v>
      </c>
      <c r="AK66" s="166">
        <v>1535</v>
      </c>
      <c r="AL66" s="166">
        <v>1897</v>
      </c>
      <c r="AM66" s="166">
        <v>1915</v>
      </c>
      <c r="AN66" s="166">
        <v>2729</v>
      </c>
      <c r="AO66" s="166">
        <v>2620</v>
      </c>
      <c r="AP66" s="373">
        <v>2628</v>
      </c>
      <c r="AQ66" s="373">
        <v>2632</v>
      </c>
      <c r="AR66" s="373">
        <v>2638</v>
      </c>
      <c r="AS66" s="374">
        <v>2601</v>
      </c>
      <c r="AT66" s="718"/>
    </row>
    <row r="67" spans="1:47" s="164" customFormat="1" ht="15" customHeight="1" x14ac:dyDescent="0.2">
      <c r="A67" s="139" t="s">
        <v>254</v>
      </c>
      <c r="B67" s="165">
        <v>4240</v>
      </c>
      <c r="C67" s="165">
        <v>4149</v>
      </c>
      <c r="D67" s="165">
        <v>4276</v>
      </c>
      <c r="E67" s="165">
        <v>3846</v>
      </c>
      <c r="F67" s="165">
        <v>3878</v>
      </c>
      <c r="G67" s="165">
        <v>3966</v>
      </c>
      <c r="H67" s="166">
        <v>4204</v>
      </c>
      <c r="I67" s="141">
        <v>6467</v>
      </c>
      <c r="J67" s="166">
        <v>6635</v>
      </c>
      <c r="K67" s="166">
        <v>6600</v>
      </c>
      <c r="L67" s="166">
        <v>6731</v>
      </c>
      <c r="M67" s="166">
        <v>7001</v>
      </c>
      <c r="N67" s="166">
        <v>6916</v>
      </c>
      <c r="O67" s="166">
        <v>7319</v>
      </c>
      <c r="P67" s="166">
        <v>7310</v>
      </c>
      <c r="Q67" s="166">
        <v>7744</v>
      </c>
      <c r="R67" s="166">
        <v>7834</v>
      </c>
      <c r="S67" s="166">
        <v>7801</v>
      </c>
      <c r="T67" s="166">
        <v>7928</v>
      </c>
      <c r="U67" s="166">
        <v>8722</v>
      </c>
      <c r="V67" s="166">
        <v>8887</v>
      </c>
      <c r="W67" s="166">
        <v>9062</v>
      </c>
      <c r="X67" s="166">
        <v>9253</v>
      </c>
      <c r="Y67" s="166">
        <v>9639</v>
      </c>
      <c r="Z67" s="166">
        <v>9733</v>
      </c>
      <c r="AA67" s="166">
        <v>9881</v>
      </c>
      <c r="AB67" s="166">
        <v>10038</v>
      </c>
      <c r="AC67" s="166">
        <v>10248</v>
      </c>
      <c r="AD67" s="166">
        <v>10379</v>
      </c>
      <c r="AE67" s="166">
        <v>10352</v>
      </c>
      <c r="AF67" s="166">
        <v>10339</v>
      </c>
      <c r="AG67" s="166">
        <v>10738</v>
      </c>
      <c r="AH67" s="166">
        <v>10969</v>
      </c>
      <c r="AI67" s="166">
        <v>10449</v>
      </c>
      <c r="AJ67" s="166">
        <v>10709</v>
      </c>
      <c r="AK67" s="166">
        <v>11429</v>
      </c>
      <c r="AL67" s="166">
        <v>11194</v>
      </c>
      <c r="AM67" s="166">
        <v>11156</v>
      </c>
      <c r="AN67" s="166">
        <v>12410</v>
      </c>
      <c r="AO67" s="166">
        <v>13038</v>
      </c>
      <c r="AP67" s="373">
        <v>13072</v>
      </c>
      <c r="AQ67" s="373">
        <v>13099</v>
      </c>
      <c r="AR67" s="373">
        <v>13209</v>
      </c>
      <c r="AS67" s="374">
        <v>13976</v>
      </c>
      <c r="AT67" s="718"/>
    </row>
    <row r="68" spans="1:47" s="164" customFormat="1" ht="15" customHeight="1" x14ac:dyDescent="0.2">
      <c r="A68" s="139" t="s">
        <v>255</v>
      </c>
      <c r="B68" s="165">
        <v>-3085</v>
      </c>
      <c r="C68" s="165">
        <v>-3008</v>
      </c>
      <c r="D68" s="165">
        <v>-3098</v>
      </c>
      <c r="E68" s="165">
        <v>-2830</v>
      </c>
      <c r="F68" s="165">
        <v>-2859</v>
      </c>
      <c r="G68" s="165">
        <v>-2873</v>
      </c>
      <c r="H68" s="166">
        <v>-2952</v>
      </c>
      <c r="I68" s="141">
        <v>-4273</v>
      </c>
      <c r="J68" s="166">
        <v>-4390</v>
      </c>
      <c r="K68" s="166">
        <v>-4342</v>
      </c>
      <c r="L68" s="166">
        <v>-4498</v>
      </c>
      <c r="M68" s="166">
        <v>-4619</v>
      </c>
      <c r="N68" s="166">
        <v>-4703</v>
      </c>
      <c r="O68" s="166">
        <v>-4923</v>
      </c>
      <c r="P68" s="166">
        <v>-4879</v>
      </c>
      <c r="Q68" s="166">
        <v>-5094</v>
      </c>
      <c r="R68" s="166">
        <v>-5285</v>
      </c>
      <c r="S68" s="166">
        <v>-5281</v>
      </c>
      <c r="T68" s="166">
        <v>-5296</v>
      </c>
      <c r="U68" s="166">
        <v>-5514</v>
      </c>
      <c r="V68" s="166">
        <v>-5585</v>
      </c>
      <c r="W68" s="166">
        <v>-5807</v>
      </c>
      <c r="X68" s="166">
        <v>-6043</v>
      </c>
      <c r="Y68" s="166">
        <v>-6275</v>
      </c>
      <c r="Z68" s="166">
        <v>-6513</v>
      </c>
      <c r="AA68" s="166">
        <v>-6759</v>
      </c>
      <c r="AB68" s="166">
        <v>-7004</v>
      </c>
      <c r="AC68" s="166">
        <v>-7021</v>
      </c>
      <c r="AD68" s="166">
        <v>-7232</v>
      </c>
      <c r="AE68" s="166">
        <v>-7237</v>
      </c>
      <c r="AF68" s="166">
        <v>-7220</v>
      </c>
      <c r="AG68" s="166">
        <v>-7329</v>
      </c>
      <c r="AH68" s="166">
        <v>-7518</v>
      </c>
      <c r="AI68" s="166">
        <v>-7028</v>
      </c>
      <c r="AJ68" s="166">
        <v>-7236</v>
      </c>
      <c r="AK68" s="166">
        <v>-7193</v>
      </c>
      <c r="AL68" s="166">
        <v>-7312</v>
      </c>
      <c r="AM68" s="166">
        <v>-7389</v>
      </c>
      <c r="AN68" s="166">
        <v>-8208</v>
      </c>
      <c r="AO68" s="166">
        <v>-7693</v>
      </c>
      <c r="AP68" s="373">
        <v>-7897</v>
      </c>
      <c r="AQ68" s="373">
        <v>-8158</v>
      </c>
      <c r="AR68" s="373">
        <v>-8394</v>
      </c>
      <c r="AS68" s="374">
        <v>-8628</v>
      </c>
      <c r="AT68" s="718"/>
    </row>
    <row r="69" spans="1:47" s="164" customFormat="1" ht="15" customHeight="1" x14ac:dyDescent="0.2">
      <c r="A69" s="173" t="s">
        <v>256</v>
      </c>
      <c r="B69" s="161">
        <f t="shared" ref="B69:AN69" si="54">SUM(B70:B71)</f>
        <v>18</v>
      </c>
      <c r="C69" s="161">
        <f t="shared" si="54"/>
        <v>28</v>
      </c>
      <c r="D69" s="161">
        <f t="shared" si="54"/>
        <v>13</v>
      </c>
      <c r="E69" s="161">
        <f t="shared" si="54"/>
        <v>11</v>
      </c>
      <c r="F69" s="161">
        <f t="shared" si="54"/>
        <v>11</v>
      </c>
      <c r="G69" s="161">
        <f t="shared" si="54"/>
        <v>9</v>
      </c>
      <c r="H69" s="161">
        <f t="shared" si="54"/>
        <v>10</v>
      </c>
      <c r="I69" s="161">
        <f t="shared" si="54"/>
        <v>13</v>
      </c>
      <c r="J69" s="161">
        <f t="shared" si="54"/>
        <v>11</v>
      </c>
      <c r="K69" s="161">
        <f t="shared" si="54"/>
        <v>16</v>
      </c>
      <c r="L69" s="161">
        <f t="shared" si="54"/>
        <v>14</v>
      </c>
      <c r="M69" s="161">
        <f t="shared" si="54"/>
        <v>12</v>
      </c>
      <c r="N69" s="161">
        <f t="shared" si="54"/>
        <v>8</v>
      </c>
      <c r="O69" s="161">
        <f t="shared" si="54"/>
        <v>6</v>
      </c>
      <c r="P69" s="161">
        <f t="shared" si="54"/>
        <v>5</v>
      </c>
      <c r="Q69" s="161">
        <f t="shared" si="54"/>
        <v>4</v>
      </c>
      <c r="R69" s="161">
        <f t="shared" si="54"/>
        <v>3</v>
      </c>
      <c r="S69" s="161">
        <f t="shared" si="54"/>
        <v>2</v>
      </c>
      <c r="T69" s="161">
        <f t="shared" si="54"/>
        <v>1</v>
      </c>
      <c r="U69" s="161">
        <f t="shared" si="54"/>
        <v>0</v>
      </c>
      <c r="V69" s="161">
        <f t="shared" si="54"/>
        <v>0</v>
      </c>
      <c r="W69" s="161">
        <f t="shared" si="54"/>
        <v>0</v>
      </c>
      <c r="X69" s="161">
        <f t="shared" si="54"/>
        <v>0</v>
      </c>
      <c r="Y69" s="161">
        <f t="shared" si="54"/>
        <v>0</v>
      </c>
      <c r="Z69" s="161">
        <f t="shared" si="54"/>
        <v>0</v>
      </c>
      <c r="AA69" s="161">
        <f t="shared" si="54"/>
        <v>0</v>
      </c>
      <c r="AB69" s="161">
        <f t="shared" si="54"/>
        <v>0</v>
      </c>
      <c r="AC69" s="161">
        <f t="shared" si="54"/>
        <v>0</v>
      </c>
      <c r="AD69" s="161">
        <f t="shared" si="54"/>
        <v>0</v>
      </c>
      <c r="AE69" s="161">
        <f t="shared" si="54"/>
        <v>0</v>
      </c>
      <c r="AF69" s="161">
        <f t="shared" si="54"/>
        <v>0</v>
      </c>
      <c r="AG69" s="161">
        <f t="shared" si="54"/>
        <v>0</v>
      </c>
      <c r="AH69" s="161">
        <f t="shared" si="54"/>
        <v>0</v>
      </c>
      <c r="AI69" s="161">
        <f t="shared" si="54"/>
        <v>0</v>
      </c>
      <c r="AJ69" s="161">
        <f t="shared" si="54"/>
        <v>0</v>
      </c>
      <c r="AK69" s="161">
        <f t="shared" si="54"/>
        <v>0</v>
      </c>
      <c r="AL69" s="161">
        <f t="shared" si="54"/>
        <v>0</v>
      </c>
      <c r="AM69" s="161">
        <f t="shared" si="54"/>
        <v>0</v>
      </c>
      <c r="AN69" s="161">
        <f t="shared" si="54"/>
        <v>0</v>
      </c>
      <c r="AO69" s="161">
        <f>SUM(AO70:AO71)</f>
        <v>0</v>
      </c>
      <c r="AP69" s="376">
        <f>SUM(AP70:AP71)</f>
        <v>0</v>
      </c>
      <c r="AQ69" s="376">
        <f>SUM(AQ70:AQ71)</f>
        <v>0</v>
      </c>
      <c r="AR69" s="376">
        <f>SUM(AR70:AR71)</f>
        <v>0</v>
      </c>
      <c r="AS69" s="377">
        <f>SUM(AS70:AS71)</f>
        <v>0</v>
      </c>
      <c r="AT69" s="718"/>
    </row>
    <row r="70" spans="1:47" s="164" customFormat="1" ht="15" customHeight="1" x14ac:dyDescent="0.2">
      <c r="A70" s="139" t="s">
        <v>257</v>
      </c>
      <c r="B70" s="165">
        <v>29</v>
      </c>
      <c r="C70" s="165">
        <v>40</v>
      </c>
      <c r="D70" s="165">
        <v>21</v>
      </c>
      <c r="E70" s="165">
        <v>20</v>
      </c>
      <c r="F70" s="165">
        <v>17</v>
      </c>
      <c r="G70" s="165">
        <v>16</v>
      </c>
      <c r="H70" s="166">
        <v>18</v>
      </c>
      <c r="I70" s="141">
        <v>23</v>
      </c>
      <c r="J70" s="166">
        <v>22</v>
      </c>
      <c r="K70" s="166">
        <v>29</v>
      </c>
      <c r="L70" s="166">
        <v>29</v>
      </c>
      <c r="M70" s="166">
        <v>28</v>
      </c>
      <c r="N70" s="166">
        <v>21</v>
      </c>
      <c r="O70" s="166">
        <v>16</v>
      </c>
      <c r="P70" s="166">
        <v>14</v>
      </c>
      <c r="Q70" s="166">
        <v>14</v>
      </c>
      <c r="R70" s="166">
        <v>13</v>
      </c>
      <c r="S70" s="166">
        <v>12</v>
      </c>
      <c r="T70" s="166">
        <v>9</v>
      </c>
      <c r="U70" s="166">
        <v>8</v>
      </c>
      <c r="V70" s="166">
        <v>6</v>
      </c>
      <c r="W70" s="166">
        <v>0</v>
      </c>
      <c r="X70" s="166">
        <v>0</v>
      </c>
      <c r="Y70" s="166">
        <v>0</v>
      </c>
      <c r="Z70" s="166">
        <v>0</v>
      </c>
      <c r="AA70" s="166">
        <v>0</v>
      </c>
      <c r="AB70" s="166">
        <v>0</v>
      </c>
      <c r="AC70" s="166">
        <v>0</v>
      </c>
      <c r="AD70" s="166">
        <v>0</v>
      </c>
      <c r="AE70" s="166">
        <v>0</v>
      </c>
      <c r="AF70" s="166">
        <v>0</v>
      </c>
      <c r="AG70" s="166">
        <v>0</v>
      </c>
      <c r="AH70" s="166">
        <v>0</v>
      </c>
      <c r="AI70" s="166">
        <v>0</v>
      </c>
      <c r="AJ70" s="166">
        <v>0</v>
      </c>
      <c r="AK70" s="166">
        <v>0</v>
      </c>
      <c r="AL70" s="166">
        <v>0</v>
      </c>
      <c r="AM70" s="166">
        <v>0</v>
      </c>
      <c r="AN70" s="166">
        <v>0</v>
      </c>
      <c r="AO70" s="166">
        <v>0</v>
      </c>
      <c r="AP70" s="373">
        <v>0</v>
      </c>
      <c r="AQ70" s="373">
        <v>0</v>
      </c>
      <c r="AR70" s="373">
        <v>0</v>
      </c>
      <c r="AS70" s="374">
        <v>0</v>
      </c>
      <c r="AT70" s="718"/>
    </row>
    <row r="71" spans="1:47" s="164" customFormat="1" ht="15" customHeight="1" x14ac:dyDescent="0.2">
      <c r="A71" s="139" t="s">
        <v>255</v>
      </c>
      <c r="B71" s="165">
        <v>-11</v>
      </c>
      <c r="C71" s="165">
        <v>-12</v>
      </c>
      <c r="D71" s="165">
        <v>-8</v>
      </c>
      <c r="E71" s="165">
        <v>-9</v>
      </c>
      <c r="F71" s="165">
        <v>-6</v>
      </c>
      <c r="G71" s="165">
        <v>-7</v>
      </c>
      <c r="H71" s="166">
        <v>-8</v>
      </c>
      <c r="I71" s="141">
        <v>-10</v>
      </c>
      <c r="J71" s="166">
        <v>-11</v>
      </c>
      <c r="K71" s="166">
        <v>-13</v>
      </c>
      <c r="L71" s="166">
        <v>-15</v>
      </c>
      <c r="M71" s="166">
        <v>-16</v>
      </c>
      <c r="N71" s="166">
        <v>-13</v>
      </c>
      <c r="O71" s="166">
        <v>-10</v>
      </c>
      <c r="P71" s="166">
        <v>-9</v>
      </c>
      <c r="Q71" s="166">
        <v>-10</v>
      </c>
      <c r="R71" s="166">
        <v>-10</v>
      </c>
      <c r="S71" s="166">
        <v>-10</v>
      </c>
      <c r="T71" s="166">
        <v>-8</v>
      </c>
      <c r="U71" s="166">
        <v>-8</v>
      </c>
      <c r="V71" s="166">
        <v>-6</v>
      </c>
      <c r="W71" s="166">
        <v>0</v>
      </c>
      <c r="X71" s="166">
        <v>0</v>
      </c>
      <c r="Y71" s="166">
        <v>0</v>
      </c>
      <c r="Z71" s="166">
        <v>0</v>
      </c>
      <c r="AA71" s="166">
        <v>0</v>
      </c>
      <c r="AB71" s="166">
        <v>0</v>
      </c>
      <c r="AC71" s="166">
        <v>0</v>
      </c>
      <c r="AD71" s="166">
        <v>0</v>
      </c>
      <c r="AE71" s="166">
        <v>0</v>
      </c>
      <c r="AF71" s="166">
        <v>0</v>
      </c>
      <c r="AG71" s="166">
        <v>0</v>
      </c>
      <c r="AH71" s="166">
        <v>0</v>
      </c>
      <c r="AI71" s="166">
        <v>0</v>
      </c>
      <c r="AJ71" s="166">
        <v>0</v>
      </c>
      <c r="AK71" s="166">
        <v>0</v>
      </c>
      <c r="AL71" s="166">
        <v>0</v>
      </c>
      <c r="AM71" s="166">
        <v>0</v>
      </c>
      <c r="AN71" s="166">
        <v>0</v>
      </c>
      <c r="AO71" s="166">
        <v>0</v>
      </c>
      <c r="AP71" s="373">
        <v>0</v>
      </c>
      <c r="AQ71" s="373">
        <v>0</v>
      </c>
      <c r="AR71" s="373">
        <v>0</v>
      </c>
      <c r="AS71" s="374">
        <v>0</v>
      </c>
      <c r="AT71" s="718"/>
    </row>
    <row r="72" spans="1:47" s="164" customFormat="1" ht="15" customHeight="1" x14ac:dyDescent="0.2">
      <c r="A72" s="173" t="s">
        <v>258</v>
      </c>
      <c r="B72" s="174">
        <f t="shared" ref="B72:AQ72" si="55">SUM(B73:B74)</f>
        <v>662</v>
      </c>
      <c r="C72" s="174">
        <f t="shared" si="55"/>
        <v>697</v>
      </c>
      <c r="D72" s="174">
        <f t="shared" si="55"/>
        <v>725</v>
      </c>
      <c r="E72" s="174">
        <f t="shared" si="55"/>
        <v>0</v>
      </c>
      <c r="F72" s="174">
        <f t="shared" si="55"/>
        <v>0</v>
      </c>
      <c r="G72" s="174">
        <f t="shared" si="55"/>
        <v>0</v>
      </c>
      <c r="H72" s="174">
        <f t="shared" si="55"/>
        <v>0</v>
      </c>
      <c r="I72" s="174">
        <f t="shared" si="55"/>
        <v>0</v>
      </c>
      <c r="J72" s="174">
        <f t="shared" si="55"/>
        <v>0</v>
      </c>
      <c r="K72" s="174">
        <f t="shared" si="55"/>
        <v>0</v>
      </c>
      <c r="L72" s="174">
        <f t="shared" si="55"/>
        <v>0</v>
      </c>
      <c r="M72" s="174">
        <f t="shared" si="55"/>
        <v>0</v>
      </c>
      <c r="N72" s="174">
        <f t="shared" si="55"/>
        <v>0</v>
      </c>
      <c r="O72" s="174">
        <f t="shared" si="55"/>
        <v>0</v>
      </c>
      <c r="P72" s="174">
        <f t="shared" si="55"/>
        <v>0</v>
      </c>
      <c r="Q72" s="174">
        <f t="shared" si="55"/>
        <v>0</v>
      </c>
      <c r="R72" s="174">
        <f t="shared" si="55"/>
        <v>0</v>
      </c>
      <c r="S72" s="174">
        <f t="shared" si="55"/>
        <v>0</v>
      </c>
      <c r="T72" s="174">
        <f t="shared" si="55"/>
        <v>0</v>
      </c>
      <c r="U72" s="174">
        <f t="shared" si="55"/>
        <v>0</v>
      </c>
      <c r="V72" s="174">
        <f t="shared" si="55"/>
        <v>0</v>
      </c>
      <c r="W72" s="174">
        <f t="shared" si="55"/>
        <v>0</v>
      </c>
      <c r="X72" s="174">
        <f t="shared" si="55"/>
        <v>0</v>
      </c>
      <c r="Y72" s="174">
        <f t="shared" si="55"/>
        <v>0</v>
      </c>
      <c r="Z72" s="174">
        <f t="shared" si="55"/>
        <v>0</v>
      </c>
      <c r="AA72" s="174">
        <f t="shared" si="55"/>
        <v>0</v>
      </c>
      <c r="AB72" s="174">
        <f t="shared" si="55"/>
        <v>0</v>
      </c>
      <c r="AC72" s="174">
        <f t="shared" si="55"/>
        <v>0</v>
      </c>
      <c r="AD72" s="174">
        <f t="shared" si="55"/>
        <v>0</v>
      </c>
      <c r="AE72" s="174">
        <f t="shared" si="55"/>
        <v>0</v>
      </c>
      <c r="AF72" s="174">
        <f t="shared" si="55"/>
        <v>0</v>
      </c>
      <c r="AG72" s="174">
        <f t="shared" si="55"/>
        <v>0</v>
      </c>
      <c r="AH72" s="174">
        <f t="shared" si="55"/>
        <v>0</v>
      </c>
      <c r="AI72" s="174">
        <f t="shared" si="55"/>
        <v>0</v>
      </c>
      <c r="AJ72" s="174">
        <f t="shared" si="55"/>
        <v>0</v>
      </c>
      <c r="AK72" s="174">
        <f t="shared" si="55"/>
        <v>0</v>
      </c>
      <c r="AL72" s="174">
        <f t="shared" si="55"/>
        <v>0</v>
      </c>
      <c r="AM72" s="174">
        <f t="shared" si="55"/>
        <v>0</v>
      </c>
      <c r="AN72" s="174">
        <f t="shared" si="55"/>
        <v>0</v>
      </c>
      <c r="AO72" s="174">
        <f t="shared" si="55"/>
        <v>0</v>
      </c>
      <c r="AP72" s="174">
        <f t="shared" si="55"/>
        <v>0</v>
      </c>
      <c r="AQ72" s="174">
        <f t="shared" si="55"/>
        <v>0</v>
      </c>
      <c r="AR72" s="174">
        <f>SUM(AR73:AR74)</f>
        <v>0</v>
      </c>
      <c r="AS72" s="465">
        <f>SUM(AS73:AS74)</f>
        <v>0</v>
      </c>
      <c r="AT72" s="718"/>
    </row>
    <row r="73" spans="1:47" s="164" customFormat="1" ht="15" customHeight="1" x14ac:dyDescent="0.2">
      <c r="A73" s="172" t="s">
        <v>259</v>
      </c>
      <c r="B73" s="166">
        <v>1613</v>
      </c>
      <c r="C73" s="166">
        <v>1682</v>
      </c>
      <c r="D73" s="166">
        <v>1760</v>
      </c>
      <c r="E73" s="166">
        <v>0</v>
      </c>
      <c r="F73" s="166">
        <v>0</v>
      </c>
      <c r="G73" s="166">
        <v>0</v>
      </c>
      <c r="H73" s="166">
        <v>0</v>
      </c>
      <c r="I73" s="166">
        <v>0</v>
      </c>
      <c r="J73" s="166">
        <v>0</v>
      </c>
      <c r="K73" s="166">
        <v>0</v>
      </c>
      <c r="L73" s="166">
        <v>0</v>
      </c>
      <c r="M73" s="166">
        <v>0</v>
      </c>
      <c r="N73" s="166">
        <v>0</v>
      </c>
      <c r="O73" s="166">
        <v>0</v>
      </c>
      <c r="P73" s="166">
        <v>0</v>
      </c>
      <c r="Q73" s="166">
        <v>0</v>
      </c>
      <c r="R73" s="166">
        <v>0</v>
      </c>
      <c r="S73" s="166">
        <v>0</v>
      </c>
      <c r="T73" s="166">
        <v>0</v>
      </c>
      <c r="U73" s="166">
        <v>0</v>
      </c>
      <c r="V73" s="166">
        <v>0</v>
      </c>
      <c r="W73" s="166">
        <v>0</v>
      </c>
      <c r="X73" s="166">
        <v>0</v>
      </c>
      <c r="Y73" s="166">
        <v>0</v>
      </c>
      <c r="Z73" s="166">
        <v>0</v>
      </c>
      <c r="AA73" s="166">
        <v>0</v>
      </c>
      <c r="AB73" s="166">
        <v>0</v>
      </c>
      <c r="AC73" s="166">
        <v>0</v>
      </c>
      <c r="AD73" s="166">
        <v>0</v>
      </c>
      <c r="AE73" s="166">
        <v>0</v>
      </c>
      <c r="AF73" s="166">
        <v>0</v>
      </c>
      <c r="AG73" s="166">
        <v>0</v>
      </c>
      <c r="AH73" s="166">
        <v>0</v>
      </c>
      <c r="AI73" s="166">
        <v>0</v>
      </c>
      <c r="AJ73" s="166">
        <v>0</v>
      </c>
      <c r="AK73" s="166">
        <v>0</v>
      </c>
      <c r="AL73" s="166">
        <v>0</v>
      </c>
      <c r="AM73" s="166">
        <v>0</v>
      </c>
      <c r="AN73" s="166">
        <v>0</v>
      </c>
      <c r="AO73" s="166">
        <v>0</v>
      </c>
      <c r="AP73" s="166">
        <v>0</v>
      </c>
      <c r="AQ73" s="166">
        <v>0</v>
      </c>
      <c r="AR73" s="166">
        <v>0</v>
      </c>
      <c r="AS73" s="374">
        <v>0</v>
      </c>
      <c r="AT73" s="718"/>
    </row>
    <row r="74" spans="1:47" s="164" customFormat="1" ht="15" customHeight="1" x14ac:dyDescent="0.2">
      <c r="A74" s="172" t="s">
        <v>260</v>
      </c>
      <c r="B74" s="166">
        <v>-951</v>
      </c>
      <c r="C74" s="166">
        <v>-985</v>
      </c>
      <c r="D74" s="166">
        <v>-1035</v>
      </c>
      <c r="E74" s="166">
        <v>0</v>
      </c>
      <c r="F74" s="166">
        <v>0</v>
      </c>
      <c r="G74" s="166">
        <v>0</v>
      </c>
      <c r="H74" s="166">
        <v>0</v>
      </c>
      <c r="I74" s="166">
        <v>0</v>
      </c>
      <c r="J74" s="166">
        <v>0</v>
      </c>
      <c r="K74" s="166">
        <v>0</v>
      </c>
      <c r="L74" s="166">
        <v>0</v>
      </c>
      <c r="M74" s="166">
        <v>0</v>
      </c>
      <c r="N74" s="166">
        <v>0</v>
      </c>
      <c r="O74" s="166">
        <v>0</v>
      </c>
      <c r="P74" s="166">
        <v>0</v>
      </c>
      <c r="Q74" s="166">
        <v>0</v>
      </c>
      <c r="R74" s="166">
        <v>0</v>
      </c>
      <c r="S74" s="166">
        <v>0</v>
      </c>
      <c r="T74" s="166">
        <v>0</v>
      </c>
      <c r="U74" s="166">
        <v>0</v>
      </c>
      <c r="V74" s="166">
        <v>0</v>
      </c>
      <c r="W74" s="166">
        <v>0</v>
      </c>
      <c r="X74" s="166">
        <v>0</v>
      </c>
      <c r="Y74" s="166">
        <v>0</v>
      </c>
      <c r="Z74" s="166">
        <v>0</v>
      </c>
      <c r="AA74" s="166">
        <v>0</v>
      </c>
      <c r="AB74" s="166">
        <v>0</v>
      </c>
      <c r="AC74" s="166">
        <v>0</v>
      </c>
      <c r="AD74" s="166">
        <v>0</v>
      </c>
      <c r="AE74" s="166">
        <v>0</v>
      </c>
      <c r="AF74" s="166">
        <v>0</v>
      </c>
      <c r="AG74" s="166">
        <v>0</v>
      </c>
      <c r="AH74" s="166">
        <v>0</v>
      </c>
      <c r="AI74" s="166">
        <v>0</v>
      </c>
      <c r="AJ74" s="166">
        <v>0</v>
      </c>
      <c r="AK74" s="166">
        <v>0</v>
      </c>
      <c r="AL74" s="166">
        <v>0</v>
      </c>
      <c r="AM74" s="166">
        <v>0</v>
      </c>
      <c r="AN74" s="166">
        <v>0</v>
      </c>
      <c r="AO74" s="166">
        <v>0</v>
      </c>
      <c r="AP74" s="166">
        <v>0</v>
      </c>
      <c r="AQ74" s="166">
        <v>0</v>
      </c>
      <c r="AR74" s="166">
        <v>0</v>
      </c>
      <c r="AS74" s="374">
        <v>0</v>
      </c>
      <c r="AT74" s="718"/>
    </row>
    <row r="75" spans="1:47" s="164" customFormat="1" ht="15" customHeight="1" x14ac:dyDescent="0.2">
      <c r="A75" s="173" t="s">
        <v>261</v>
      </c>
      <c r="B75" s="174">
        <f t="shared" ref="B75:AN75" si="56">SUM(B76:B77)</f>
        <v>0</v>
      </c>
      <c r="C75" s="174">
        <f t="shared" ref="C75:D75" si="57">SUM(C76:C77)</f>
        <v>0</v>
      </c>
      <c r="D75" s="174">
        <f t="shared" si="57"/>
        <v>0</v>
      </c>
      <c r="E75" s="174">
        <f t="shared" si="56"/>
        <v>2216</v>
      </c>
      <c r="F75" s="174">
        <f t="shared" si="56"/>
        <v>2441</v>
      </c>
      <c r="G75" s="174">
        <f t="shared" si="56"/>
        <v>2504</v>
      </c>
      <c r="H75" s="174">
        <f t="shared" si="56"/>
        <v>3369</v>
      </c>
      <c r="I75" s="174">
        <f t="shared" si="56"/>
        <v>3313</v>
      </c>
      <c r="J75" s="174">
        <f t="shared" si="56"/>
        <v>3331</v>
      </c>
      <c r="K75" s="174">
        <f t="shared" si="56"/>
        <v>3518</v>
      </c>
      <c r="L75" s="174">
        <f t="shared" si="56"/>
        <v>3564</v>
      </c>
      <c r="M75" s="174">
        <f t="shared" si="56"/>
        <v>5228</v>
      </c>
      <c r="N75" s="174">
        <f t="shared" si="56"/>
        <v>5136</v>
      </c>
      <c r="O75" s="174">
        <f t="shared" si="56"/>
        <v>5252</v>
      </c>
      <c r="P75" s="174">
        <f t="shared" si="56"/>
        <v>5706</v>
      </c>
      <c r="Q75" s="174">
        <f t="shared" si="56"/>
        <v>6359</v>
      </c>
      <c r="R75" s="174">
        <f t="shared" si="56"/>
        <v>6447</v>
      </c>
      <c r="S75" s="174">
        <f t="shared" si="56"/>
        <v>6379</v>
      </c>
      <c r="T75" s="174">
        <f t="shared" si="56"/>
        <v>6518</v>
      </c>
      <c r="U75" s="174">
        <f t="shared" si="56"/>
        <v>8978</v>
      </c>
      <c r="V75" s="174">
        <f t="shared" si="56"/>
        <v>9027</v>
      </c>
      <c r="W75" s="174">
        <f t="shared" si="56"/>
        <v>9045</v>
      </c>
      <c r="X75" s="174">
        <f t="shared" si="56"/>
        <v>9586</v>
      </c>
      <c r="Y75" s="174">
        <f t="shared" si="56"/>
        <v>8270</v>
      </c>
      <c r="Z75" s="174">
        <f t="shared" si="56"/>
        <v>8858</v>
      </c>
      <c r="AA75" s="174">
        <f t="shared" si="56"/>
        <v>9192</v>
      </c>
      <c r="AB75" s="174">
        <f t="shared" si="56"/>
        <v>9029</v>
      </c>
      <c r="AC75" s="174">
        <f t="shared" si="56"/>
        <v>9146</v>
      </c>
      <c r="AD75" s="174">
        <f t="shared" si="56"/>
        <v>9001</v>
      </c>
      <c r="AE75" s="174">
        <f t="shared" si="56"/>
        <v>8680</v>
      </c>
      <c r="AF75" s="174">
        <f t="shared" si="56"/>
        <v>8527</v>
      </c>
      <c r="AG75" s="174">
        <f t="shared" si="56"/>
        <v>8471</v>
      </c>
      <c r="AH75" s="174">
        <f t="shared" si="56"/>
        <v>12793</v>
      </c>
      <c r="AI75" s="174">
        <f t="shared" si="56"/>
        <v>12554</v>
      </c>
      <c r="AJ75" s="174">
        <f t="shared" si="56"/>
        <v>12385</v>
      </c>
      <c r="AK75" s="174">
        <f t="shared" si="56"/>
        <v>12628</v>
      </c>
      <c r="AL75" s="174">
        <f t="shared" si="56"/>
        <v>12332</v>
      </c>
      <c r="AM75" s="174">
        <f t="shared" si="56"/>
        <v>12144</v>
      </c>
      <c r="AN75" s="174">
        <f t="shared" si="56"/>
        <v>22091</v>
      </c>
      <c r="AO75" s="174">
        <f>SUM(AO76:AO77)</f>
        <v>21542</v>
      </c>
      <c r="AP75" s="548">
        <f>SUM(AP76:AP77)</f>
        <v>20663</v>
      </c>
      <c r="AQ75" s="548">
        <f>SUM(AQ76:AQ77)</f>
        <v>19834</v>
      </c>
      <c r="AR75" s="548">
        <f>SUM(AR76:AR77)</f>
        <v>20241</v>
      </c>
      <c r="AS75" s="465">
        <f>SUM(AS76:AS77)</f>
        <v>20305</v>
      </c>
      <c r="AT75" s="718"/>
    </row>
    <row r="76" spans="1:47" s="164" customFormat="1" ht="15" customHeight="1" x14ac:dyDescent="0.2">
      <c r="A76" s="172" t="s">
        <v>77</v>
      </c>
      <c r="B76" s="166">
        <v>0</v>
      </c>
      <c r="C76" s="166">
        <v>0</v>
      </c>
      <c r="D76" s="166">
        <v>0</v>
      </c>
      <c r="E76" s="165">
        <v>4111</v>
      </c>
      <c r="F76" s="165">
        <v>4399</v>
      </c>
      <c r="G76" s="165">
        <v>4638</v>
      </c>
      <c r="H76" s="166">
        <v>5682</v>
      </c>
      <c r="I76" s="166">
        <v>5833</v>
      </c>
      <c r="J76" s="166">
        <v>6062</v>
      </c>
      <c r="K76" s="166">
        <v>6472</v>
      </c>
      <c r="L76" s="166">
        <v>6512</v>
      </c>
      <c r="M76" s="166">
        <v>8492</v>
      </c>
      <c r="N76" s="166">
        <v>8675</v>
      </c>
      <c r="O76" s="166">
        <v>9062</v>
      </c>
      <c r="P76" s="166">
        <v>9850</v>
      </c>
      <c r="Q76" s="166">
        <v>10771</v>
      </c>
      <c r="R76" s="166">
        <v>11173</v>
      </c>
      <c r="S76" s="166">
        <v>11434</v>
      </c>
      <c r="T76" s="166">
        <v>11932</v>
      </c>
      <c r="U76" s="166">
        <v>14657</v>
      </c>
      <c r="V76" s="166">
        <v>15021</v>
      </c>
      <c r="W76" s="166">
        <v>15275</v>
      </c>
      <c r="X76" s="166">
        <v>16095</v>
      </c>
      <c r="Y76" s="166">
        <v>16048</v>
      </c>
      <c r="Z76" s="166">
        <v>16855</v>
      </c>
      <c r="AA76" s="166">
        <v>17581</v>
      </c>
      <c r="AB76" s="166">
        <v>17143</v>
      </c>
      <c r="AC76" s="166">
        <v>17740</v>
      </c>
      <c r="AD76" s="166">
        <v>16260</v>
      </c>
      <c r="AE76" s="166">
        <v>16417</v>
      </c>
      <c r="AF76" s="166">
        <v>16203</v>
      </c>
      <c r="AG76" s="166">
        <v>16740</v>
      </c>
      <c r="AH76" s="166">
        <v>21536</v>
      </c>
      <c r="AI76" s="166">
        <v>21915</v>
      </c>
      <c r="AJ76" s="166">
        <v>22440</v>
      </c>
      <c r="AK76" s="166">
        <v>23109</v>
      </c>
      <c r="AL76" s="166">
        <v>22554</v>
      </c>
      <c r="AM76" s="166">
        <v>22955</v>
      </c>
      <c r="AN76" s="166">
        <v>35078</v>
      </c>
      <c r="AO76" s="166">
        <v>34975</v>
      </c>
      <c r="AP76" s="373">
        <v>32980</v>
      </c>
      <c r="AQ76" s="373">
        <v>33368</v>
      </c>
      <c r="AR76" s="373">
        <v>34924</v>
      </c>
      <c r="AS76" s="374">
        <v>36102</v>
      </c>
      <c r="AT76" s="718"/>
    </row>
    <row r="77" spans="1:47" s="164" customFormat="1" ht="15" customHeight="1" x14ac:dyDescent="0.2">
      <c r="A77" s="139" t="s">
        <v>260</v>
      </c>
      <c r="B77" s="166">
        <v>0</v>
      </c>
      <c r="C77" s="166">
        <v>0</v>
      </c>
      <c r="D77" s="166">
        <v>0</v>
      </c>
      <c r="E77" s="165">
        <v>-1895</v>
      </c>
      <c r="F77" s="165">
        <v>-1958</v>
      </c>
      <c r="G77" s="165">
        <v>-2134</v>
      </c>
      <c r="H77" s="166">
        <v>-2313</v>
      </c>
      <c r="I77" s="166">
        <v>-2520</v>
      </c>
      <c r="J77" s="166">
        <v>-2731</v>
      </c>
      <c r="K77" s="166">
        <v>-2954</v>
      </c>
      <c r="L77" s="166">
        <v>-2948</v>
      </c>
      <c r="M77" s="166">
        <v>-3264</v>
      </c>
      <c r="N77" s="166">
        <v>-3539</v>
      </c>
      <c r="O77" s="166">
        <v>-3810</v>
      </c>
      <c r="P77" s="166">
        <v>-4144</v>
      </c>
      <c r="Q77" s="166">
        <v>-4412</v>
      </c>
      <c r="R77" s="166">
        <v>-4726</v>
      </c>
      <c r="S77" s="166">
        <v>-5055</v>
      </c>
      <c r="T77" s="166">
        <v>-5414</v>
      </c>
      <c r="U77" s="166">
        <v>-5679</v>
      </c>
      <c r="V77" s="166">
        <v>-5994</v>
      </c>
      <c r="W77" s="166">
        <v>-6230</v>
      </c>
      <c r="X77" s="166">
        <v>-6509</v>
      </c>
      <c r="Y77" s="166">
        <v>-7778</v>
      </c>
      <c r="Z77" s="166">
        <v>-7997</v>
      </c>
      <c r="AA77" s="166">
        <v>-8389</v>
      </c>
      <c r="AB77" s="166">
        <v>-8114</v>
      </c>
      <c r="AC77" s="166">
        <v>-8594</v>
      </c>
      <c r="AD77" s="166">
        <v>-7259</v>
      </c>
      <c r="AE77" s="166">
        <v>-7737</v>
      </c>
      <c r="AF77" s="166">
        <v>-7676</v>
      </c>
      <c r="AG77" s="166">
        <v>-8269</v>
      </c>
      <c r="AH77" s="166">
        <v>-8743</v>
      </c>
      <c r="AI77" s="166">
        <v>-9361</v>
      </c>
      <c r="AJ77" s="166">
        <v>-10055</v>
      </c>
      <c r="AK77" s="166">
        <v>-10481</v>
      </c>
      <c r="AL77" s="166">
        <v>-10222</v>
      </c>
      <c r="AM77" s="166">
        <v>-10811</v>
      </c>
      <c r="AN77" s="166">
        <v>-12987</v>
      </c>
      <c r="AO77" s="166">
        <v>-13433</v>
      </c>
      <c r="AP77" s="373">
        <v>-12317</v>
      </c>
      <c r="AQ77" s="373">
        <v>-13534</v>
      </c>
      <c r="AR77" s="373">
        <v>-14683</v>
      </c>
      <c r="AS77" s="374">
        <v>-15797</v>
      </c>
      <c r="AT77" s="718"/>
    </row>
    <row r="78" spans="1:47" s="164" customFormat="1" ht="5.0999999999999996" customHeight="1" x14ac:dyDescent="0.2">
      <c r="A78" s="139"/>
      <c r="B78" s="165">
        <v>0</v>
      </c>
      <c r="C78" s="165"/>
      <c r="D78" s="165"/>
      <c r="E78" s="165"/>
      <c r="F78" s="165"/>
      <c r="G78" s="165"/>
      <c r="H78" s="166"/>
      <c r="I78" s="166"/>
      <c r="J78" s="166"/>
      <c r="K78" s="166"/>
      <c r="L78" s="166"/>
      <c r="M78" s="166"/>
      <c r="N78" s="166"/>
      <c r="O78" s="166"/>
      <c r="P78" s="166"/>
      <c r="Q78" s="166"/>
      <c r="R78" s="166"/>
      <c r="S78" s="166"/>
      <c r="T78" s="166"/>
      <c r="U78" s="166"/>
      <c r="V78" s="166"/>
      <c r="W78" s="166"/>
      <c r="X78" s="166"/>
      <c r="Y78" s="166"/>
      <c r="Z78" s="166"/>
      <c r="AA78" s="166"/>
      <c r="AB78" s="166"/>
      <c r="AC78" s="166"/>
      <c r="AD78" s="166"/>
      <c r="AE78" s="166"/>
      <c r="AF78" s="166"/>
      <c r="AG78" s="166"/>
      <c r="AH78" s="166"/>
      <c r="AI78" s="166"/>
      <c r="AJ78" s="166"/>
      <c r="AK78" s="166"/>
      <c r="AL78" s="166"/>
      <c r="AM78" s="166"/>
      <c r="AN78" s="166"/>
      <c r="AO78" s="166"/>
      <c r="AP78" s="373"/>
      <c r="AQ78" s="373"/>
      <c r="AR78" s="373"/>
      <c r="AS78" s="373"/>
      <c r="AT78" s="718"/>
    </row>
    <row r="79" spans="1:47" s="149" customFormat="1" ht="15" customHeight="1" thickBot="1" x14ac:dyDescent="0.25">
      <c r="A79" s="175" t="s">
        <v>9</v>
      </c>
      <c r="B79" s="176">
        <f t="shared" ref="B79:AN79" si="58">B10+B59</f>
        <v>281944</v>
      </c>
      <c r="C79" s="176">
        <f t="shared" si="58"/>
        <v>290568</v>
      </c>
      <c r="D79" s="176">
        <f t="shared" si="58"/>
        <v>317648</v>
      </c>
      <c r="E79" s="176">
        <f t="shared" si="58"/>
        <v>341144</v>
      </c>
      <c r="F79" s="176">
        <f t="shared" si="58"/>
        <v>355470</v>
      </c>
      <c r="G79" s="176">
        <f t="shared" si="58"/>
        <v>403232</v>
      </c>
      <c r="H79" s="176">
        <f t="shared" si="58"/>
        <v>422662</v>
      </c>
      <c r="I79" s="176">
        <f t="shared" si="58"/>
        <v>454413</v>
      </c>
      <c r="J79" s="176">
        <f t="shared" si="58"/>
        <v>482141</v>
      </c>
      <c r="K79" s="176">
        <f t="shared" si="58"/>
        <v>482480</v>
      </c>
      <c r="L79" s="176">
        <f t="shared" si="58"/>
        <v>485686</v>
      </c>
      <c r="M79" s="176">
        <f t="shared" si="58"/>
        <v>506223</v>
      </c>
      <c r="N79" s="176">
        <f t="shared" si="58"/>
        <v>532626</v>
      </c>
      <c r="O79" s="176">
        <f t="shared" si="58"/>
        <v>558100</v>
      </c>
      <c r="P79" s="176">
        <f t="shared" si="58"/>
        <v>611903</v>
      </c>
      <c r="Q79" s="176">
        <f t="shared" si="58"/>
        <v>637485</v>
      </c>
      <c r="R79" s="176">
        <f t="shared" si="58"/>
        <v>675387</v>
      </c>
      <c r="S79" s="176">
        <f t="shared" si="58"/>
        <v>689307</v>
      </c>
      <c r="T79" s="176">
        <f t="shared" si="58"/>
        <v>722289</v>
      </c>
      <c r="U79" s="176">
        <f t="shared" si="58"/>
        <v>761533</v>
      </c>
      <c r="V79" s="176">
        <f t="shared" si="58"/>
        <v>789550</v>
      </c>
      <c r="W79" s="176">
        <f t="shared" si="58"/>
        <v>830520</v>
      </c>
      <c r="X79" s="176">
        <f t="shared" si="58"/>
        <v>856288</v>
      </c>
      <c r="Y79" s="176">
        <f t="shared" si="58"/>
        <v>879092</v>
      </c>
      <c r="Z79" s="176">
        <f t="shared" si="58"/>
        <v>894467</v>
      </c>
      <c r="AA79" s="176">
        <f t="shared" si="58"/>
        <v>896697</v>
      </c>
      <c r="AB79" s="176">
        <f t="shared" si="58"/>
        <v>907694</v>
      </c>
      <c r="AC79" s="176">
        <f t="shared" si="58"/>
        <v>908139</v>
      </c>
      <c r="AD79" s="176">
        <f t="shared" si="58"/>
        <v>922229</v>
      </c>
      <c r="AE79" s="176">
        <f t="shared" si="58"/>
        <v>931132</v>
      </c>
      <c r="AF79" s="176">
        <f t="shared" si="58"/>
        <v>987364</v>
      </c>
      <c r="AG79" s="176">
        <f t="shared" si="58"/>
        <v>1032040</v>
      </c>
      <c r="AH79" s="176">
        <f t="shared" si="58"/>
        <v>1034814</v>
      </c>
      <c r="AI79" s="176">
        <f t="shared" si="58"/>
        <v>1029762</v>
      </c>
      <c r="AJ79" s="176">
        <f t="shared" si="58"/>
        <v>1050983</v>
      </c>
      <c r="AK79" s="176">
        <f t="shared" si="58"/>
        <v>1079752</v>
      </c>
      <c r="AL79" s="176">
        <f t="shared" si="58"/>
        <v>1101763</v>
      </c>
      <c r="AM79" s="176">
        <f t="shared" si="58"/>
        <v>1105244</v>
      </c>
      <c r="AN79" s="176">
        <f t="shared" si="58"/>
        <v>1270139</v>
      </c>
      <c r="AO79" s="176">
        <f>AO10+AO59</f>
        <v>1293559</v>
      </c>
      <c r="AP79" s="375">
        <f>AP10+AP59</f>
        <v>1294139</v>
      </c>
      <c r="AQ79" s="375">
        <f>AQ10+AQ59</f>
        <v>1291184</v>
      </c>
      <c r="AR79" s="375">
        <f>AR10+AR59</f>
        <v>1311671.5659999999</v>
      </c>
      <c r="AS79" s="375">
        <f>AS10+AS59</f>
        <v>1298328</v>
      </c>
      <c r="AT79" s="718"/>
      <c r="AU79" s="164"/>
    </row>
    <row r="80" spans="1:47" s="178" customFormat="1" ht="15" customHeight="1" thickTop="1" x14ac:dyDescent="0.2">
      <c r="A80" s="177"/>
      <c r="B80" s="177"/>
      <c r="C80" s="177"/>
      <c r="D80" s="177"/>
      <c r="E80" s="177"/>
      <c r="F80" s="177"/>
      <c r="G80" s="177"/>
      <c r="H80" s="177"/>
      <c r="I80" s="177"/>
      <c r="J80" s="177"/>
      <c r="K80" s="177"/>
      <c r="L80" s="177"/>
      <c r="M80" s="177"/>
      <c r="N80" s="177"/>
      <c r="O80" s="177"/>
      <c r="P80" s="177"/>
      <c r="Q80" s="177"/>
      <c r="R80" s="177"/>
      <c r="S80" s="177"/>
      <c r="T80" s="177"/>
      <c r="U80" s="177"/>
      <c r="V80" s="177"/>
      <c r="W80" s="177"/>
      <c r="X80" s="177"/>
      <c r="Y80" s="177"/>
      <c r="Z80" s="177"/>
      <c r="AA80" s="177"/>
      <c r="AB80" s="177"/>
      <c r="AC80" s="177"/>
      <c r="AD80" s="177"/>
      <c r="AE80" s="177"/>
      <c r="AF80" s="177"/>
      <c r="AG80" s="177"/>
      <c r="AH80" s="177"/>
      <c r="AI80" s="177"/>
      <c r="AJ80" s="177"/>
      <c r="AK80" s="177"/>
      <c r="AL80" s="177"/>
      <c r="AM80" s="177"/>
      <c r="AN80" s="177"/>
      <c r="AO80" s="177"/>
      <c r="AP80" s="177"/>
      <c r="AQ80" s="177"/>
      <c r="AR80" s="177"/>
      <c r="AS80" s="177"/>
    </row>
    <row r="81" spans="1:45" s="164" customFormat="1" ht="26.25" customHeight="1" x14ac:dyDescent="0.2">
      <c r="A81" s="499" t="s">
        <v>353</v>
      </c>
      <c r="B81" s="500"/>
      <c r="C81" s="500"/>
      <c r="D81" s="500"/>
      <c r="E81" s="500"/>
      <c r="F81" s="179"/>
      <c r="G81" s="179"/>
      <c r="H81" s="179"/>
      <c r="I81" s="179"/>
      <c r="J81" s="179"/>
      <c r="K81" s="179"/>
      <c r="L81" s="179"/>
      <c r="M81" s="179"/>
      <c r="N81" s="179"/>
      <c r="O81" s="179"/>
      <c r="P81" s="179"/>
      <c r="Q81" s="179"/>
      <c r="R81" s="179"/>
      <c r="S81" s="179"/>
      <c r="T81" s="179"/>
      <c r="U81" s="179"/>
      <c r="V81" s="179"/>
      <c r="W81" s="179"/>
      <c r="X81" s="179"/>
      <c r="Y81" s="179"/>
      <c r="Z81" s="179"/>
      <c r="AA81" s="179"/>
      <c r="AB81" s="179"/>
      <c r="AC81" s="179"/>
      <c r="AD81" s="179"/>
      <c r="AE81" s="179"/>
      <c r="AF81" s="179"/>
      <c r="AG81" s="179"/>
      <c r="AH81" s="179"/>
      <c r="AI81" s="179"/>
      <c r="AJ81" s="179"/>
      <c r="AK81" s="179"/>
      <c r="AL81" s="179"/>
      <c r="AM81" s="179"/>
      <c r="AN81" s="179"/>
      <c r="AO81" s="179"/>
      <c r="AP81" s="179"/>
      <c r="AQ81" s="179"/>
      <c r="AR81" s="179"/>
      <c r="AS81" s="179"/>
    </row>
    <row r="82" spans="1:45" x14ac:dyDescent="0.2">
      <c r="B82" s="500"/>
      <c r="C82" s="500"/>
      <c r="D82" s="500"/>
      <c r="E82" s="500"/>
    </row>
  </sheetData>
  <customSheetViews>
    <customSheetView guid="{B7440494-8EA9-4463-9947-E5D20E74049D}" showGridLines="0" topLeftCell="A73">
      <selection activeCell="A81" sqref="A81"/>
      <pageMargins left="0.511811024" right="0.511811024" top="0.78740157499999996" bottom="0.78740157499999996" header="0.31496062000000002" footer="0.31496062000000002"/>
    </customSheetView>
    <customSheetView guid="{A9134056-6B1C-4A42-AFE9-9712EF3EF3D4}" showGridLines="0">
      <selection activeCell="A2" sqref="A2"/>
      <pageMargins left="0.511811024" right="0.511811024" top="0.78740157499999996" bottom="0.78740157499999996" header="0.31496062000000002" footer="0.31496062000000002"/>
    </customSheetView>
  </customSheetViews>
  <mergeCells count="9">
    <mergeCell ref="Z6:AC6"/>
    <mergeCell ref="AD6:AG6"/>
    <mergeCell ref="AH6:AK6"/>
    <mergeCell ref="B6:E6"/>
    <mergeCell ref="F6:I6"/>
    <mergeCell ref="J6:M6"/>
    <mergeCell ref="N6:Q6"/>
    <mergeCell ref="R6:U6"/>
    <mergeCell ref="V6:Y6"/>
  </mergeCells>
  <hyperlinks>
    <hyperlink ref="AS6" location="Índex!E9" display="Índex"/>
  </hyperlinks>
  <printOptions horizontalCentered="1"/>
  <pageMargins left="0" right="0" top="0.19685039370078741" bottom="0.19685039370078741" header="0" footer="0"/>
  <pageSetup paperSize="9" scale="55" fitToWidth="2" orientation="portrait" r:id="rId1"/>
  <headerFooter>
    <oddHeader>&amp;R&amp;P/&amp;N</oddHeader>
  </headerFooter>
  <colBreaks count="5" manualBreakCount="5">
    <brk id="9" max="1048575" man="1"/>
    <brk id="17" max="1048575" man="1"/>
    <brk id="25" max="1048575" man="1"/>
    <brk id="33" max="1048575" man="1"/>
    <brk id="41" max="81" man="1"/>
  </colBreaks>
  <ignoredErrors>
    <ignoredError sqref="AM40 AK40:AL40 AN40 U40:AJ40 B40:M40 T40 S40 N40:R40 B55:AN55 B60:AM60 B65:AO65 B69:AO69" formulaRange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7"/>
  <dimension ref="A1:HL73"/>
  <sheetViews>
    <sheetView showGridLines="0" zoomScaleNormal="100" workbookViewId="0">
      <pane xSplit="1" ySplit="9" topLeftCell="AN10" activePane="bottomRight" state="frozen"/>
      <selection activeCell="E9" sqref="E9"/>
      <selection pane="topRight" activeCell="E9" sqref="E9"/>
      <selection pane="bottomLeft" activeCell="E9" sqref="E9"/>
      <selection pane="bottomRight" activeCell="AS6" sqref="AS6"/>
    </sheetView>
  </sheetViews>
  <sheetFormatPr defaultColWidth="12.5703125" defaultRowHeight="12" x14ac:dyDescent="0.2"/>
  <cols>
    <col min="1" max="1" width="90" style="188" customWidth="1"/>
    <col min="2" max="2" width="10.7109375" style="188" customWidth="1"/>
    <col min="3" max="5" width="10.7109375" style="186" customWidth="1"/>
    <col min="6" max="6" width="10.7109375" style="188" customWidth="1"/>
    <col min="7" max="9" width="10.7109375" style="186" customWidth="1"/>
    <col min="10" max="45" width="10.7109375" style="188" customWidth="1"/>
    <col min="46" max="16384" width="12.5703125" style="144"/>
  </cols>
  <sheetData>
    <row r="1" spans="1:220" ht="15" customHeight="1" x14ac:dyDescent="0.2">
      <c r="A1" s="139"/>
      <c r="B1" s="140"/>
      <c r="C1" s="140"/>
      <c r="D1" s="140"/>
      <c r="E1" s="140"/>
      <c r="F1" s="141"/>
      <c r="G1" s="142"/>
      <c r="H1" s="140"/>
      <c r="I1" s="140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2"/>
      <c r="AJ1" s="142"/>
      <c r="AK1" s="142"/>
      <c r="AL1" s="142"/>
      <c r="AM1" s="142"/>
      <c r="AN1" s="142"/>
      <c r="AO1" s="142"/>
      <c r="AP1" s="142"/>
      <c r="AQ1" s="142"/>
      <c r="AR1" s="142"/>
      <c r="AS1" s="142"/>
      <c r="AT1" s="142"/>
      <c r="AU1" s="143"/>
      <c r="AV1" s="142"/>
      <c r="AW1" s="143"/>
      <c r="AX1" s="142"/>
      <c r="AY1" s="143"/>
      <c r="AZ1" s="142"/>
      <c r="BA1" s="143"/>
      <c r="BB1" s="142"/>
      <c r="BC1" s="143"/>
      <c r="BD1" s="142"/>
      <c r="BE1" s="143"/>
      <c r="BF1" s="142"/>
      <c r="BG1" s="143"/>
      <c r="BH1" s="142"/>
      <c r="BI1" s="143"/>
      <c r="BJ1" s="142"/>
      <c r="BK1" s="143"/>
      <c r="BL1" s="142"/>
      <c r="BM1" s="143"/>
      <c r="BN1" s="142"/>
      <c r="BO1" s="143"/>
      <c r="BP1" s="142"/>
      <c r="BQ1" s="143"/>
      <c r="BR1" s="142"/>
      <c r="BS1" s="143"/>
      <c r="BT1" s="142"/>
      <c r="BU1" s="143"/>
      <c r="BV1" s="142"/>
      <c r="BW1" s="143"/>
      <c r="BX1" s="142"/>
      <c r="BY1" s="143"/>
      <c r="BZ1" s="142"/>
      <c r="CA1" s="143"/>
      <c r="CB1" s="141"/>
      <c r="CC1" s="141"/>
      <c r="CD1" s="142"/>
      <c r="CE1" s="143"/>
      <c r="CF1" s="140"/>
      <c r="CG1" s="140"/>
      <c r="CH1" s="140"/>
      <c r="CI1" s="140"/>
      <c r="CJ1" s="140"/>
      <c r="CK1" s="143"/>
      <c r="CL1" s="140"/>
      <c r="CM1" s="143"/>
      <c r="CN1" s="140"/>
      <c r="CO1" s="140"/>
      <c r="CP1" s="140"/>
      <c r="CQ1" s="139"/>
      <c r="CR1" s="139"/>
      <c r="CS1" s="142"/>
      <c r="CT1" s="143"/>
      <c r="CU1" s="142"/>
      <c r="CV1" s="143"/>
      <c r="CW1" s="142"/>
      <c r="CX1" s="143"/>
      <c r="CY1" s="142"/>
      <c r="CZ1" s="143"/>
      <c r="DA1" s="142"/>
      <c r="DB1" s="143"/>
      <c r="DC1" s="142"/>
      <c r="DD1" s="143"/>
      <c r="DE1" s="142"/>
      <c r="DF1" s="143"/>
      <c r="DG1" s="142"/>
      <c r="DH1" s="143"/>
      <c r="DI1" s="142"/>
      <c r="DJ1" s="143"/>
      <c r="DK1" s="142"/>
      <c r="DL1" s="143"/>
      <c r="DM1" s="142"/>
      <c r="DN1" s="143"/>
      <c r="DO1" s="142"/>
      <c r="DP1" s="143"/>
      <c r="DQ1" s="142"/>
      <c r="DR1" s="143"/>
      <c r="DS1" s="142"/>
      <c r="DT1" s="143"/>
      <c r="DU1" s="142"/>
      <c r="DV1" s="143"/>
      <c r="DW1" s="142"/>
      <c r="DX1" s="143"/>
      <c r="DY1" s="142"/>
      <c r="DZ1" s="143"/>
      <c r="EA1" s="142"/>
      <c r="EB1" s="143"/>
      <c r="EC1" s="142"/>
      <c r="ED1" s="143"/>
      <c r="EE1" s="142"/>
      <c r="EF1" s="143"/>
      <c r="EG1" s="141"/>
      <c r="EH1" s="141"/>
      <c r="EI1" s="142"/>
      <c r="EJ1" s="143"/>
      <c r="EK1" s="140"/>
      <c r="EL1" s="140"/>
      <c r="EM1" s="140"/>
      <c r="EN1" s="140"/>
      <c r="EO1" s="140"/>
      <c r="EP1" s="143"/>
      <c r="EQ1" s="140"/>
      <c r="ER1" s="143"/>
      <c r="ES1" s="140"/>
      <c r="ET1" s="140"/>
      <c r="EU1" s="140"/>
      <c r="EV1" s="139"/>
      <c r="EW1" s="139"/>
      <c r="EX1" s="142"/>
      <c r="EY1" s="143"/>
      <c r="EZ1" s="142"/>
      <c r="FA1" s="143"/>
      <c r="FB1" s="142"/>
      <c r="FC1" s="143"/>
      <c r="FD1" s="142"/>
      <c r="FE1" s="143"/>
      <c r="FF1" s="142"/>
      <c r="FG1" s="143"/>
      <c r="FH1" s="142"/>
      <c r="FI1" s="143"/>
      <c r="FJ1" s="142"/>
      <c r="FK1" s="143"/>
      <c r="FL1" s="142"/>
      <c r="FM1" s="143"/>
      <c r="FN1" s="142"/>
      <c r="FO1" s="143"/>
      <c r="FP1" s="142"/>
      <c r="FQ1" s="143"/>
      <c r="FR1" s="142"/>
      <c r="FS1" s="143"/>
      <c r="FT1" s="142"/>
      <c r="FU1" s="143"/>
      <c r="FV1" s="142"/>
      <c r="FW1" s="143"/>
      <c r="FX1" s="142"/>
      <c r="FY1" s="143"/>
      <c r="FZ1" s="142"/>
      <c r="GA1" s="143"/>
      <c r="GB1" s="142"/>
      <c r="GC1" s="143"/>
      <c r="GD1" s="142"/>
      <c r="GE1" s="143"/>
      <c r="GF1" s="142"/>
      <c r="GG1" s="143"/>
      <c r="GH1" s="142"/>
      <c r="GI1" s="143"/>
      <c r="GJ1" s="142"/>
      <c r="GK1" s="143"/>
      <c r="GL1" s="141"/>
      <c r="GM1" s="141"/>
      <c r="GN1" s="142"/>
      <c r="GO1" s="143"/>
      <c r="GP1" s="140"/>
      <c r="GQ1" s="140"/>
      <c r="GR1" s="140"/>
      <c r="GS1" s="140"/>
      <c r="GT1" s="140"/>
      <c r="GU1" s="143"/>
      <c r="GV1" s="140"/>
      <c r="GW1" s="143"/>
      <c r="GX1" s="140"/>
      <c r="GY1" s="140"/>
      <c r="GZ1" s="140"/>
      <c r="HA1" s="139"/>
      <c r="HB1" s="139"/>
      <c r="HC1" s="142"/>
      <c r="HD1" s="143"/>
      <c r="HE1" s="142"/>
      <c r="HF1" s="143"/>
      <c r="HG1" s="142"/>
      <c r="HH1" s="143"/>
      <c r="HI1" s="142"/>
      <c r="HJ1" s="143"/>
      <c r="HK1" s="142"/>
      <c r="HL1" s="143"/>
    </row>
    <row r="2" spans="1:220" ht="15" customHeight="1" x14ac:dyDescent="0.2">
      <c r="A2" s="139"/>
      <c r="B2" s="140"/>
      <c r="C2" s="140"/>
      <c r="D2" s="140"/>
      <c r="E2" s="140"/>
      <c r="F2" s="141"/>
      <c r="G2" s="142"/>
      <c r="H2" s="140"/>
      <c r="I2" s="140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2"/>
      <c r="AT2" s="142"/>
      <c r="AU2" s="143"/>
      <c r="AV2" s="142"/>
      <c r="AW2" s="143"/>
      <c r="AX2" s="142"/>
      <c r="AY2" s="143"/>
      <c r="AZ2" s="142"/>
      <c r="BA2" s="143"/>
      <c r="BB2" s="142"/>
      <c r="BC2" s="143"/>
      <c r="BD2" s="142"/>
      <c r="BE2" s="143"/>
      <c r="BF2" s="142"/>
      <c r="BG2" s="143"/>
      <c r="BH2" s="142"/>
      <c r="BI2" s="143"/>
      <c r="BJ2" s="142"/>
      <c r="BK2" s="143"/>
      <c r="BL2" s="142"/>
      <c r="BM2" s="143"/>
      <c r="BN2" s="142"/>
      <c r="BO2" s="143"/>
      <c r="BP2" s="142"/>
      <c r="BQ2" s="143"/>
      <c r="BR2" s="142"/>
      <c r="BS2" s="143"/>
      <c r="BT2" s="142"/>
      <c r="BU2" s="143"/>
      <c r="BV2" s="142"/>
      <c r="BW2" s="143"/>
      <c r="BX2" s="142"/>
      <c r="BY2" s="143"/>
      <c r="BZ2" s="142"/>
      <c r="CA2" s="143"/>
      <c r="CB2" s="141"/>
      <c r="CC2" s="141"/>
      <c r="CD2" s="142"/>
      <c r="CE2" s="143"/>
      <c r="CF2" s="140"/>
      <c r="CG2" s="140"/>
      <c r="CH2" s="140"/>
      <c r="CI2" s="140"/>
      <c r="CJ2" s="140"/>
      <c r="CK2" s="143"/>
      <c r="CL2" s="140"/>
      <c r="CM2" s="143"/>
      <c r="CN2" s="140"/>
      <c r="CO2" s="140"/>
      <c r="CP2" s="140"/>
      <c r="CQ2" s="139"/>
      <c r="CR2" s="139"/>
      <c r="CS2" s="142"/>
      <c r="CT2" s="143"/>
      <c r="CU2" s="142"/>
      <c r="CV2" s="143"/>
      <c r="CW2" s="142"/>
      <c r="CX2" s="143"/>
      <c r="CY2" s="142"/>
      <c r="CZ2" s="143"/>
      <c r="DA2" s="142"/>
      <c r="DB2" s="143"/>
      <c r="DC2" s="142"/>
      <c r="DD2" s="143"/>
      <c r="DE2" s="142"/>
      <c r="DF2" s="143"/>
      <c r="DG2" s="142"/>
      <c r="DH2" s="143"/>
      <c r="DI2" s="142"/>
      <c r="DJ2" s="143"/>
      <c r="DK2" s="142"/>
      <c r="DL2" s="143"/>
      <c r="DM2" s="142"/>
      <c r="DN2" s="143"/>
      <c r="DO2" s="142"/>
      <c r="DP2" s="143"/>
      <c r="DQ2" s="142"/>
      <c r="DR2" s="143"/>
      <c r="DS2" s="142"/>
      <c r="DT2" s="143"/>
      <c r="DU2" s="142"/>
      <c r="DV2" s="143"/>
      <c r="DW2" s="142"/>
      <c r="DX2" s="143"/>
      <c r="DY2" s="142"/>
      <c r="DZ2" s="143"/>
      <c r="EA2" s="142"/>
      <c r="EB2" s="143"/>
      <c r="EC2" s="142"/>
      <c r="ED2" s="143"/>
      <c r="EE2" s="142"/>
      <c r="EF2" s="143"/>
      <c r="EG2" s="141"/>
      <c r="EH2" s="141"/>
      <c r="EI2" s="142"/>
      <c r="EJ2" s="143"/>
      <c r="EK2" s="140"/>
      <c r="EL2" s="140"/>
      <c r="EM2" s="140"/>
      <c r="EN2" s="140"/>
      <c r="EO2" s="140"/>
      <c r="EP2" s="143"/>
      <c r="EQ2" s="140"/>
      <c r="ER2" s="143"/>
      <c r="ES2" s="140"/>
      <c r="ET2" s="140"/>
      <c r="EU2" s="140"/>
      <c r="EV2" s="139"/>
      <c r="EW2" s="139"/>
      <c r="EX2" s="142"/>
      <c r="EY2" s="143"/>
      <c r="EZ2" s="142"/>
      <c r="FA2" s="143"/>
      <c r="FB2" s="142"/>
      <c r="FC2" s="143"/>
      <c r="FD2" s="142"/>
      <c r="FE2" s="143"/>
      <c r="FF2" s="142"/>
      <c r="FG2" s="143"/>
      <c r="FH2" s="142"/>
      <c r="FI2" s="143"/>
      <c r="FJ2" s="142"/>
      <c r="FK2" s="143"/>
      <c r="FL2" s="142"/>
      <c r="FM2" s="143"/>
      <c r="FN2" s="142"/>
      <c r="FO2" s="143"/>
      <c r="FP2" s="142"/>
      <c r="FQ2" s="143"/>
      <c r="FR2" s="142"/>
      <c r="FS2" s="143"/>
      <c r="FT2" s="142"/>
      <c r="FU2" s="143"/>
      <c r="FV2" s="142"/>
      <c r="FW2" s="143"/>
      <c r="FX2" s="142"/>
      <c r="FY2" s="143"/>
      <c r="FZ2" s="142"/>
      <c r="GA2" s="143"/>
      <c r="GB2" s="142"/>
      <c r="GC2" s="143"/>
      <c r="GD2" s="142"/>
      <c r="GE2" s="143"/>
      <c r="GF2" s="142"/>
      <c r="GG2" s="143"/>
      <c r="GH2" s="142"/>
      <c r="GI2" s="143"/>
      <c r="GJ2" s="142"/>
      <c r="GK2" s="143"/>
      <c r="GL2" s="141"/>
      <c r="GM2" s="141"/>
      <c r="GN2" s="142"/>
      <c r="GO2" s="143"/>
      <c r="GP2" s="140"/>
      <c r="GQ2" s="140"/>
      <c r="GR2" s="140"/>
      <c r="GS2" s="140"/>
      <c r="GT2" s="140"/>
      <c r="GU2" s="143"/>
      <c r="GV2" s="140"/>
      <c r="GW2" s="143"/>
      <c r="GX2" s="140"/>
      <c r="GY2" s="140"/>
      <c r="GZ2" s="140"/>
      <c r="HA2" s="139"/>
      <c r="HB2" s="139"/>
      <c r="HC2" s="142"/>
      <c r="HD2" s="143"/>
      <c r="HE2" s="142"/>
      <c r="HF2" s="143"/>
      <c r="HG2" s="142"/>
      <c r="HH2" s="143"/>
      <c r="HI2" s="142"/>
      <c r="HJ2" s="143"/>
      <c r="HK2" s="142"/>
      <c r="HL2" s="143"/>
    </row>
    <row r="3" spans="1:220" ht="15" customHeight="1" x14ac:dyDescent="0.2">
      <c r="A3" s="139"/>
      <c r="B3" s="140"/>
      <c r="C3" s="140"/>
      <c r="D3" s="140"/>
      <c r="E3" s="140"/>
      <c r="F3" s="141"/>
      <c r="G3" s="142"/>
      <c r="H3" s="140"/>
      <c r="I3" s="140"/>
      <c r="J3" s="142"/>
      <c r="K3" s="142"/>
      <c r="L3" s="142"/>
      <c r="M3" s="142"/>
      <c r="N3" s="142"/>
      <c r="O3" s="142"/>
      <c r="P3" s="142"/>
      <c r="Q3" s="142"/>
      <c r="R3" s="142"/>
      <c r="S3" s="142"/>
      <c r="T3" s="142"/>
      <c r="U3" s="142"/>
      <c r="V3" s="142"/>
      <c r="W3" s="142"/>
      <c r="X3" s="142"/>
      <c r="Y3" s="142"/>
      <c r="Z3" s="142"/>
      <c r="AA3" s="142"/>
      <c r="AB3" s="142"/>
      <c r="AC3" s="142"/>
      <c r="AD3" s="142"/>
      <c r="AE3" s="142"/>
      <c r="AF3" s="142"/>
      <c r="AG3" s="142"/>
      <c r="AH3" s="142"/>
      <c r="AI3" s="142"/>
      <c r="AJ3" s="142"/>
      <c r="AK3" s="142"/>
      <c r="AL3" s="142"/>
      <c r="AM3" s="142"/>
      <c r="AN3" s="142"/>
      <c r="AO3" s="142"/>
      <c r="AP3" s="142"/>
      <c r="AQ3" s="142"/>
      <c r="AR3" s="142"/>
      <c r="AS3" s="142"/>
      <c r="AT3" s="142"/>
      <c r="AU3" s="143"/>
      <c r="AV3" s="142"/>
      <c r="AW3" s="143"/>
      <c r="AX3" s="142"/>
      <c r="AY3" s="143"/>
      <c r="AZ3" s="142"/>
      <c r="BA3" s="143"/>
      <c r="BB3" s="142"/>
      <c r="BC3" s="143"/>
      <c r="BD3" s="142"/>
      <c r="BE3" s="143"/>
      <c r="BF3" s="142"/>
      <c r="BG3" s="143"/>
      <c r="BH3" s="142"/>
      <c r="BI3" s="143"/>
      <c r="BJ3" s="142"/>
      <c r="BK3" s="143"/>
      <c r="BL3" s="142"/>
      <c r="BM3" s="143"/>
      <c r="BN3" s="142"/>
      <c r="BO3" s="143"/>
      <c r="BP3" s="142"/>
      <c r="BQ3" s="143"/>
      <c r="BR3" s="142"/>
      <c r="BS3" s="143"/>
      <c r="BT3" s="142"/>
      <c r="BU3" s="143"/>
      <c r="BV3" s="142"/>
      <c r="BW3" s="143"/>
      <c r="BX3" s="142"/>
      <c r="BY3" s="143"/>
      <c r="BZ3" s="142"/>
      <c r="CA3" s="143"/>
      <c r="CB3" s="141"/>
      <c r="CC3" s="141"/>
      <c r="CD3" s="142"/>
      <c r="CE3" s="143"/>
      <c r="CF3" s="140"/>
      <c r="CG3" s="140"/>
      <c r="CH3" s="140"/>
      <c r="CI3" s="140"/>
      <c r="CJ3" s="140"/>
      <c r="CK3" s="143"/>
      <c r="CL3" s="140"/>
      <c r="CM3" s="143"/>
      <c r="CN3" s="140"/>
      <c r="CO3" s="140"/>
      <c r="CP3" s="140"/>
      <c r="CQ3" s="139"/>
      <c r="CR3" s="139"/>
      <c r="CS3" s="142"/>
      <c r="CT3" s="143"/>
      <c r="CU3" s="142"/>
      <c r="CV3" s="143"/>
      <c r="CW3" s="142"/>
      <c r="CX3" s="143"/>
      <c r="CY3" s="142"/>
      <c r="CZ3" s="143"/>
      <c r="DA3" s="142"/>
      <c r="DB3" s="143"/>
      <c r="DC3" s="142"/>
      <c r="DD3" s="143"/>
      <c r="DE3" s="142"/>
      <c r="DF3" s="143"/>
      <c r="DG3" s="142"/>
      <c r="DH3" s="143"/>
      <c r="DI3" s="142"/>
      <c r="DJ3" s="143"/>
      <c r="DK3" s="142"/>
      <c r="DL3" s="143"/>
      <c r="DM3" s="142"/>
      <c r="DN3" s="143"/>
      <c r="DO3" s="142"/>
      <c r="DP3" s="143"/>
      <c r="DQ3" s="142"/>
      <c r="DR3" s="143"/>
      <c r="DS3" s="142"/>
      <c r="DT3" s="143"/>
      <c r="DU3" s="142"/>
      <c r="DV3" s="143"/>
      <c r="DW3" s="142"/>
      <c r="DX3" s="143"/>
      <c r="DY3" s="142"/>
      <c r="DZ3" s="143"/>
      <c r="EA3" s="142"/>
      <c r="EB3" s="143"/>
      <c r="EC3" s="142"/>
      <c r="ED3" s="143"/>
      <c r="EE3" s="142"/>
      <c r="EF3" s="143"/>
      <c r="EG3" s="141"/>
      <c r="EH3" s="141"/>
      <c r="EI3" s="142"/>
      <c r="EJ3" s="143"/>
      <c r="EK3" s="140"/>
      <c r="EL3" s="140"/>
      <c r="EM3" s="140"/>
      <c r="EN3" s="140"/>
      <c r="EO3" s="140"/>
      <c r="EP3" s="143"/>
      <c r="EQ3" s="140"/>
      <c r="ER3" s="143"/>
      <c r="ES3" s="140"/>
      <c r="ET3" s="140"/>
      <c r="EU3" s="140"/>
      <c r="EV3" s="139"/>
      <c r="EW3" s="139"/>
      <c r="EX3" s="142"/>
      <c r="EY3" s="143"/>
      <c r="EZ3" s="142"/>
      <c r="FA3" s="143"/>
      <c r="FB3" s="142"/>
      <c r="FC3" s="143"/>
      <c r="FD3" s="142"/>
      <c r="FE3" s="143"/>
      <c r="FF3" s="142"/>
      <c r="FG3" s="143"/>
      <c r="FH3" s="142"/>
      <c r="FI3" s="143"/>
      <c r="FJ3" s="142"/>
      <c r="FK3" s="143"/>
      <c r="FL3" s="142"/>
      <c r="FM3" s="143"/>
      <c r="FN3" s="142"/>
      <c r="FO3" s="143"/>
      <c r="FP3" s="142"/>
      <c r="FQ3" s="143"/>
      <c r="FR3" s="142"/>
      <c r="FS3" s="143"/>
      <c r="FT3" s="142"/>
      <c r="FU3" s="143"/>
      <c r="FV3" s="142"/>
      <c r="FW3" s="143"/>
      <c r="FX3" s="142"/>
      <c r="FY3" s="143"/>
      <c r="FZ3" s="142"/>
      <c r="GA3" s="143"/>
      <c r="GB3" s="142"/>
      <c r="GC3" s="143"/>
      <c r="GD3" s="142"/>
      <c r="GE3" s="143"/>
      <c r="GF3" s="142"/>
      <c r="GG3" s="143"/>
      <c r="GH3" s="142"/>
      <c r="GI3" s="143"/>
      <c r="GJ3" s="142"/>
      <c r="GK3" s="143"/>
      <c r="GL3" s="141"/>
      <c r="GM3" s="141"/>
      <c r="GN3" s="142"/>
      <c r="GO3" s="143"/>
      <c r="GP3" s="140"/>
      <c r="GQ3" s="140"/>
      <c r="GR3" s="140"/>
      <c r="GS3" s="140"/>
      <c r="GT3" s="140"/>
      <c r="GU3" s="143"/>
      <c r="GV3" s="140"/>
      <c r="GW3" s="143"/>
      <c r="GX3" s="140"/>
      <c r="GY3" s="140"/>
      <c r="GZ3" s="140"/>
      <c r="HA3" s="139"/>
      <c r="HB3" s="139"/>
      <c r="HC3" s="142"/>
      <c r="HD3" s="143"/>
      <c r="HE3" s="142"/>
      <c r="HF3" s="143"/>
      <c r="HG3" s="142"/>
      <c r="HH3" s="143"/>
      <c r="HI3" s="142"/>
      <c r="HJ3" s="143"/>
      <c r="HK3" s="142"/>
      <c r="HL3" s="143"/>
    </row>
    <row r="4" spans="1:220" ht="15" customHeight="1" x14ac:dyDescent="0.2">
      <c r="A4" s="145"/>
      <c r="B4" s="146"/>
      <c r="C4" s="146"/>
      <c r="D4" s="146"/>
      <c r="E4" s="146"/>
      <c r="F4" s="147"/>
      <c r="G4" s="148"/>
      <c r="H4" s="146"/>
      <c r="I4" s="146"/>
      <c r="J4" s="148"/>
      <c r="K4" s="148"/>
      <c r="L4" s="148"/>
      <c r="M4" s="148"/>
      <c r="N4" s="148"/>
      <c r="O4" s="148"/>
      <c r="P4" s="148"/>
      <c r="Q4" s="148"/>
      <c r="R4" s="148"/>
      <c r="S4" s="148"/>
      <c r="T4" s="148"/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48"/>
      <c r="AH4" s="149"/>
      <c r="AI4" s="149"/>
      <c r="AJ4" s="149"/>
      <c r="AK4" s="150"/>
      <c r="AL4" s="150"/>
      <c r="AM4" s="150"/>
      <c r="AN4" s="150"/>
      <c r="AO4" s="150"/>
      <c r="AP4" s="150"/>
      <c r="AQ4" s="150"/>
      <c r="AR4" s="150"/>
      <c r="AS4" s="150"/>
    </row>
    <row r="5" spans="1:220" s="178" customFormat="1" ht="15" customHeight="1" thickBot="1" x14ac:dyDescent="0.25">
      <c r="A5" s="707" t="s">
        <v>398</v>
      </c>
      <c r="B5" s="480"/>
      <c r="C5" s="480"/>
      <c r="D5" s="480"/>
      <c r="E5" s="480"/>
      <c r="F5" s="480"/>
      <c r="G5" s="480"/>
      <c r="H5" s="480"/>
      <c r="I5" s="480"/>
      <c r="J5" s="480"/>
      <c r="K5" s="480"/>
      <c r="L5" s="480"/>
      <c r="M5" s="480"/>
      <c r="N5" s="480"/>
      <c r="O5" s="480"/>
      <c r="P5" s="480"/>
      <c r="Q5" s="480"/>
      <c r="R5" s="480"/>
      <c r="S5" s="480"/>
      <c r="T5" s="480"/>
      <c r="U5" s="480"/>
      <c r="V5" s="480"/>
      <c r="W5" s="480"/>
      <c r="X5" s="480"/>
      <c r="Y5" s="480"/>
      <c r="Z5" s="480"/>
      <c r="AA5" s="480"/>
      <c r="AB5" s="480"/>
      <c r="AC5" s="480"/>
      <c r="AD5" s="480"/>
      <c r="AE5" s="480"/>
      <c r="AF5" s="480"/>
      <c r="AG5" s="480"/>
      <c r="AH5" s="480"/>
      <c r="AI5" s="480"/>
      <c r="AJ5" s="480"/>
      <c r="AK5" s="480"/>
      <c r="AL5" s="181"/>
      <c r="AM5" s="181"/>
      <c r="AN5" s="181"/>
      <c r="AO5" s="181"/>
      <c r="AP5" s="181"/>
      <c r="AQ5" s="181"/>
      <c r="AR5" s="181"/>
      <c r="AS5" s="181"/>
    </row>
    <row r="6" spans="1:220" s="164" customFormat="1" ht="15" customHeight="1" thickTop="1" x14ac:dyDescent="0.2">
      <c r="A6" s="151"/>
      <c r="B6" s="151"/>
      <c r="C6" s="151"/>
      <c r="D6" s="151"/>
      <c r="E6" s="151"/>
      <c r="F6" s="151"/>
      <c r="G6" s="151"/>
      <c r="H6" s="151"/>
      <c r="I6" s="151"/>
      <c r="J6" s="151"/>
      <c r="K6" s="151"/>
      <c r="L6" s="151"/>
      <c r="M6" s="151"/>
      <c r="N6" s="151"/>
      <c r="O6" s="151"/>
      <c r="P6" s="151"/>
      <c r="Q6" s="151"/>
      <c r="R6" s="151"/>
      <c r="S6" s="151"/>
      <c r="T6" s="151"/>
      <c r="U6" s="151"/>
      <c r="V6" s="151"/>
      <c r="W6" s="151"/>
      <c r="X6" s="151"/>
      <c r="Y6" s="151"/>
      <c r="Z6" s="151"/>
      <c r="AA6" s="151"/>
      <c r="AB6" s="151"/>
      <c r="AC6" s="151"/>
      <c r="AD6" s="151"/>
      <c r="AE6" s="151"/>
      <c r="AF6" s="151"/>
      <c r="AG6" s="151"/>
      <c r="AH6" s="151"/>
      <c r="AI6" s="151"/>
      <c r="AJ6" s="151"/>
      <c r="AK6" s="151"/>
      <c r="AL6" s="151"/>
      <c r="AM6" s="151"/>
      <c r="AN6" s="151"/>
      <c r="AO6" s="379"/>
      <c r="AP6" s="400"/>
      <c r="AQ6" s="400"/>
      <c r="AR6" s="400"/>
      <c r="AS6" s="400" t="s">
        <v>662</v>
      </c>
    </row>
    <row r="7" spans="1:220" s="183" customFormat="1" ht="15" customHeight="1" x14ac:dyDescent="0.2">
      <c r="A7" s="182"/>
      <c r="B7" s="156" t="s">
        <v>35</v>
      </c>
      <c r="C7" s="156" t="s">
        <v>36</v>
      </c>
      <c r="D7" s="156" t="s">
        <v>321</v>
      </c>
      <c r="E7" s="156" t="s">
        <v>331</v>
      </c>
      <c r="F7" s="156" t="s">
        <v>37</v>
      </c>
      <c r="G7" s="156" t="s">
        <v>38</v>
      </c>
      <c r="H7" s="156" t="s">
        <v>322</v>
      </c>
      <c r="I7" s="156" t="s">
        <v>332</v>
      </c>
      <c r="J7" s="156" t="s">
        <v>39</v>
      </c>
      <c r="K7" s="156" t="s">
        <v>40</v>
      </c>
      <c r="L7" s="156" t="s">
        <v>323</v>
      </c>
      <c r="M7" s="156" t="s">
        <v>333</v>
      </c>
      <c r="N7" s="156" t="s">
        <v>41</v>
      </c>
      <c r="O7" s="156" t="s">
        <v>42</v>
      </c>
      <c r="P7" s="156" t="s">
        <v>324</v>
      </c>
      <c r="Q7" s="156" t="s">
        <v>334</v>
      </c>
      <c r="R7" s="156" t="s">
        <v>43</v>
      </c>
      <c r="S7" s="156" t="s">
        <v>44</v>
      </c>
      <c r="T7" s="156" t="s">
        <v>325</v>
      </c>
      <c r="U7" s="156" t="s">
        <v>335</v>
      </c>
      <c r="V7" s="156" t="s">
        <v>45</v>
      </c>
      <c r="W7" s="156" t="s">
        <v>46</v>
      </c>
      <c r="X7" s="156" t="s">
        <v>326</v>
      </c>
      <c r="Y7" s="156" t="s">
        <v>336</v>
      </c>
      <c r="Z7" s="156" t="s">
        <v>47</v>
      </c>
      <c r="AA7" s="156" t="s">
        <v>48</v>
      </c>
      <c r="AB7" s="156" t="s">
        <v>327</v>
      </c>
      <c r="AC7" s="156" t="s">
        <v>337</v>
      </c>
      <c r="AD7" s="156" t="s">
        <v>49</v>
      </c>
      <c r="AE7" s="156" t="s">
        <v>50</v>
      </c>
      <c r="AF7" s="156" t="s">
        <v>328</v>
      </c>
      <c r="AG7" s="156" t="s">
        <v>338</v>
      </c>
      <c r="AH7" s="156" t="s">
        <v>51</v>
      </c>
      <c r="AI7" s="156" t="s">
        <v>52</v>
      </c>
      <c r="AJ7" s="156" t="s">
        <v>329</v>
      </c>
      <c r="AK7" s="156" t="s">
        <v>339</v>
      </c>
      <c r="AL7" s="156" t="s">
        <v>53</v>
      </c>
      <c r="AM7" s="156" t="s">
        <v>54</v>
      </c>
      <c r="AN7" s="156" t="s">
        <v>330</v>
      </c>
      <c r="AO7" s="381" t="s">
        <v>340</v>
      </c>
      <c r="AP7" s="398" t="s">
        <v>71</v>
      </c>
      <c r="AQ7" s="591" t="s">
        <v>374</v>
      </c>
      <c r="AR7" s="664" t="s">
        <v>376</v>
      </c>
      <c r="AS7" s="664" t="s">
        <v>399</v>
      </c>
    </row>
    <row r="8" spans="1:220" s="149" customFormat="1" ht="15" customHeight="1" x14ac:dyDescent="0.2">
      <c r="A8" s="184" t="s">
        <v>262</v>
      </c>
      <c r="B8" s="158"/>
      <c r="C8" s="158"/>
      <c r="D8" s="158"/>
      <c r="E8" s="158"/>
      <c r="F8" s="158"/>
      <c r="G8" s="158"/>
      <c r="H8" s="158"/>
      <c r="I8" s="158"/>
      <c r="J8" s="158"/>
      <c r="K8" s="158"/>
      <c r="L8" s="158"/>
      <c r="M8" s="158"/>
      <c r="N8" s="158"/>
      <c r="O8" s="158"/>
      <c r="P8" s="158"/>
      <c r="Q8" s="158"/>
      <c r="R8" s="158"/>
      <c r="S8" s="158"/>
      <c r="T8" s="158"/>
      <c r="U8" s="158"/>
      <c r="V8" s="158"/>
      <c r="W8" s="158"/>
      <c r="X8" s="158"/>
      <c r="Y8" s="158"/>
      <c r="Z8" s="158"/>
      <c r="AA8" s="158"/>
      <c r="AB8" s="158"/>
      <c r="AC8" s="158"/>
      <c r="AD8" s="158"/>
      <c r="AE8" s="158"/>
      <c r="AF8" s="158"/>
      <c r="AG8" s="158"/>
      <c r="AH8" s="158"/>
      <c r="AI8" s="158"/>
      <c r="AJ8" s="158"/>
      <c r="AK8" s="158"/>
      <c r="AL8" s="158"/>
      <c r="AM8" s="158"/>
      <c r="AN8" s="158"/>
      <c r="AO8" s="158"/>
      <c r="AP8" s="158"/>
      <c r="AQ8" s="158"/>
      <c r="AR8" s="158"/>
      <c r="AS8" s="158"/>
    </row>
    <row r="9" spans="1:220" s="164" customFormat="1" ht="5.0999999999999996" customHeight="1" x14ac:dyDescent="0.2">
      <c r="A9" s="159"/>
      <c r="B9" s="159"/>
      <c r="C9" s="159"/>
      <c r="D9" s="159"/>
      <c r="E9" s="159"/>
      <c r="F9" s="159"/>
      <c r="G9" s="159"/>
      <c r="H9" s="159"/>
      <c r="I9" s="159"/>
      <c r="J9" s="159"/>
      <c r="K9" s="159"/>
      <c r="L9" s="159"/>
      <c r="M9" s="159"/>
      <c r="N9" s="159"/>
      <c r="O9" s="159"/>
      <c r="P9" s="159"/>
      <c r="Q9" s="159"/>
      <c r="R9" s="159"/>
      <c r="S9" s="159"/>
      <c r="T9" s="159"/>
      <c r="U9" s="159"/>
      <c r="V9" s="159"/>
      <c r="W9" s="159"/>
      <c r="X9" s="159"/>
      <c r="Y9" s="159"/>
      <c r="Z9" s="159"/>
      <c r="AA9" s="159"/>
      <c r="AB9" s="159"/>
      <c r="AC9" s="159"/>
      <c r="AD9" s="159"/>
      <c r="AE9" s="159"/>
      <c r="AF9" s="159"/>
      <c r="AG9" s="159"/>
      <c r="AH9" s="159"/>
      <c r="AI9" s="159"/>
      <c r="AJ9" s="159"/>
      <c r="AK9" s="159"/>
      <c r="AL9" s="159"/>
      <c r="AM9" s="159"/>
      <c r="AN9" s="159"/>
      <c r="AO9" s="159"/>
      <c r="AP9" s="159"/>
      <c r="AQ9" s="159"/>
      <c r="AR9" s="159"/>
      <c r="AS9" s="159"/>
    </row>
    <row r="10" spans="1:220" s="164" customFormat="1" ht="15" customHeight="1" x14ac:dyDescent="0.2">
      <c r="A10" s="173" t="s">
        <v>263</v>
      </c>
      <c r="B10" s="161">
        <f t="shared" ref="B10:AN10" si="0">B11+B17+B21+B27+B31+B33+B37+B43+B45+B46+B47</f>
        <v>255690</v>
      </c>
      <c r="C10" s="161">
        <f t="shared" si="0"/>
        <v>262817</v>
      </c>
      <c r="D10" s="161">
        <f t="shared" si="0"/>
        <v>288084</v>
      </c>
      <c r="E10" s="161">
        <f t="shared" si="0"/>
        <v>310442</v>
      </c>
      <c r="F10" s="161">
        <f t="shared" si="0"/>
        <v>322213</v>
      </c>
      <c r="G10" s="161">
        <f t="shared" si="0"/>
        <v>369151</v>
      </c>
      <c r="H10" s="161">
        <f t="shared" si="0"/>
        <v>387640</v>
      </c>
      <c r="I10" s="161">
        <f t="shared" si="0"/>
        <v>419561</v>
      </c>
      <c r="J10" s="161">
        <f t="shared" si="0"/>
        <v>446225</v>
      </c>
      <c r="K10" s="161">
        <f t="shared" si="0"/>
        <v>444575</v>
      </c>
      <c r="L10" s="161">
        <f t="shared" si="0"/>
        <v>446152</v>
      </c>
      <c r="M10" s="161">
        <f t="shared" si="0"/>
        <v>463351</v>
      </c>
      <c r="N10" s="161">
        <f t="shared" si="0"/>
        <v>488431</v>
      </c>
      <c r="O10" s="161">
        <f t="shared" si="0"/>
        <v>512790</v>
      </c>
      <c r="P10" s="161">
        <f t="shared" si="0"/>
        <v>564794</v>
      </c>
      <c r="Q10" s="161">
        <f t="shared" si="0"/>
        <v>588610</v>
      </c>
      <c r="R10" s="161">
        <f t="shared" si="0"/>
        <v>623069</v>
      </c>
      <c r="S10" s="161">
        <f t="shared" si="0"/>
        <v>635360</v>
      </c>
      <c r="T10" s="161">
        <f t="shared" si="0"/>
        <v>667312</v>
      </c>
      <c r="U10" s="161">
        <f t="shared" si="0"/>
        <v>704664</v>
      </c>
      <c r="V10" s="161">
        <f t="shared" si="0"/>
        <v>730214</v>
      </c>
      <c r="W10" s="161">
        <f t="shared" si="0"/>
        <v>765398</v>
      </c>
      <c r="X10" s="161">
        <f t="shared" si="0"/>
        <v>789036</v>
      </c>
      <c r="Y10" s="161">
        <f t="shared" si="0"/>
        <v>807799</v>
      </c>
      <c r="Z10" s="161">
        <f t="shared" si="0"/>
        <v>823788</v>
      </c>
      <c r="AA10" s="161">
        <f t="shared" si="0"/>
        <v>829426</v>
      </c>
      <c r="AB10" s="161">
        <f t="shared" si="0"/>
        <v>839393</v>
      </c>
      <c r="AC10" s="161">
        <f t="shared" si="0"/>
        <v>835917</v>
      </c>
      <c r="AD10" s="161">
        <f t="shared" si="0"/>
        <v>847794</v>
      </c>
      <c r="AE10" s="161">
        <f t="shared" si="0"/>
        <v>853622</v>
      </c>
      <c r="AF10" s="161">
        <f t="shared" si="0"/>
        <v>907366</v>
      </c>
      <c r="AG10" s="161">
        <f t="shared" si="0"/>
        <v>949846</v>
      </c>
      <c r="AH10" s="161">
        <f t="shared" si="0"/>
        <v>949065</v>
      </c>
      <c r="AI10" s="161">
        <f t="shared" si="0"/>
        <v>940910</v>
      </c>
      <c r="AJ10" s="161">
        <f t="shared" si="0"/>
        <v>962811</v>
      </c>
      <c r="AK10" s="161">
        <f t="shared" si="0"/>
        <v>988831</v>
      </c>
      <c r="AL10" s="161">
        <f t="shared" si="0"/>
        <v>1006426</v>
      </c>
      <c r="AM10" s="161">
        <f t="shared" si="0"/>
        <v>1006877</v>
      </c>
      <c r="AN10" s="161">
        <f t="shared" si="0"/>
        <v>1169589</v>
      </c>
      <c r="AO10" s="161">
        <f>AO11+AO17+AO21+AO27+AO31+AO33+AO37+AO43+AO45+AO46+AO47</f>
        <v>1191094</v>
      </c>
      <c r="AP10" s="376">
        <f>AP11+AP17+AP21+AP27+AP31+AP33+AP37+AP43+AP45+AP46+AP47</f>
        <v>1187569</v>
      </c>
      <c r="AQ10" s="376">
        <f>AQ11+AQ17+AQ21+AQ27+AQ31+AQ33+AQ37+AQ43+AQ45+AQ46+AQ47</f>
        <v>1182377</v>
      </c>
      <c r="AR10" s="376">
        <f>AR11+AR17+AR21+AR27+AR31+AR33+AR37+AR43+AR45+AR46+AR47</f>
        <v>1199303.774</v>
      </c>
      <c r="AS10" s="377">
        <f>AS11+AS17+AS21+AS27+AS31+AS33+AS37+AS43+AS45+AS46+AS47</f>
        <v>1185763.8509999998</v>
      </c>
    </row>
    <row r="11" spans="1:220" s="164" customFormat="1" ht="15" customHeight="1" x14ac:dyDescent="0.2">
      <c r="A11" s="173" t="s">
        <v>264</v>
      </c>
      <c r="B11" s="161">
        <f t="shared" ref="B11:AN11" si="1">SUM(B12:B16)</f>
        <v>84162</v>
      </c>
      <c r="C11" s="161">
        <f t="shared" si="1"/>
        <v>82601</v>
      </c>
      <c r="D11" s="161">
        <f t="shared" si="1"/>
        <v>86736</v>
      </c>
      <c r="E11" s="161">
        <f t="shared" si="1"/>
        <v>98323</v>
      </c>
      <c r="F11" s="161">
        <f t="shared" si="1"/>
        <v>106710</v>
      </c>
      <c r="G11" s="161">
        <f t="shared" si="1"/>
        <v>122752</v>
      </c>
      <c r="H11" s="161">
        <f t="shared" si="1"/>
        <v>139170</v>
      </c>
      <c r="I11" s="161">
        <f t="shared" si="1"/>
        <v>164493</v>
      </c>
      <c r="J11" s="161">
        <f t="shared" si="1"/>
        <v>169103</v>
      </c>
      <c r="K11" s="161">
        <f t="shared" si="1"/>
        <v>167512</v>
      </c>
      <c r="L11" s="161">
        <f t="shared" si="1"/>
        <v>167987</v>
      </c>
      <c r="M11" s="161">
        <f t="shared" si="1"/>
        <v>171073</v>
      </c>
      <c r="N11" s="161">
        <f t="shared" si="1"/>
        <v>170722</v>
      </c>
      <c r="O11" s="161">
        <f t="shared" si="1"/>
        <v>178452</v>
      </c>
      <c r="P11" s="161">
        <f t="shared" si="1"/>
        <v>186194</v>
      </c>
      <c r="Q11" s="161">
        <f t="shared" si="1"/>
        <v>193201</v>
      </c>
      <c r="R11" s="161">
        <f t="shared" si="1"/>
        <v>203822</v>
      </c>
      <c r="S11" s="161">
        <f t="shared" si="1"/>
        <v>213561</v>
      </c>
      <c r="T11" s="161">
        <f t="shared" si="1"/>
        <v>224664</v>
      </c>
      <c r="U11" s="161">
        <f t="shared" si="1"/>
        <v>217424</v>
      </c>
      <c r="V11" s="161">
        <f t="shared" si="1"/>
        <v>213877</v>
      </c>
      <c r="W11" s="161">
        <f t="shared" si="1"/>
        <v>217070</v>
      </c>
      <c r="X11" s="161">
        <f t="shared" si="1"/>
        <v>212869</v>
      </c>
      <c r="Y11" s="161">
        <f t="shared" si="1"/>
        <v>211858</v>
      </c>
      <c r="Z11" s="161">
        <f t="shared" si="1"/>
        <v>205870</v>
      </c>
      <c r="AA11" s="161">
        <f t="shared" si="1"/>
        <v>208485</v>
      </c>
      <c r="AB11" s="161">
        <f t="shared" si="1"/>
        <v>216778</v>
      </c>
      <c r="AC11" s="161">
        <f t="shared" si="1"/>
        <v>218063</v>
      </c>
      <c r="AD11" s="161">
        <f t="shared" si="1"/>
        <v>218709</v>
      </c>
      <c r="AE11" s="161">
        <f t="shared" si="1"/>
        <v>213270</v>
      </c>
      <c r="AF11" s="161">
        <f t="shared" si="1"/>
        <v>211882</v>
      </c>
      <c r="AG11" s="161">
        <f t="shared" si="1"/>
        <v>211612</v>
      </c>
      <c r="AH11" s="161">
        <f t="shared" si="1"/>
        <v>211702</v>
      </c>
      <c r="AI11" s="161">
        <f t="shared" si="1"/>
        <v>195926</v>
      </c>
      <c r="AJ11" s="161">
        <f t="shared" si="1"/>
        <v>203637</v>
      </c>
      <c r="AK11" s="161">
        <f t="shared" si="1"/>
        <v>195759</v>
      </c>
      <c r="AL11" s="161">
        <f t="shared" si="1"/>
        <v>189192</v>
      </c>
      <c r="AM11" s="161">
        <f t="shared" si="1"/>
        <v>179436</v>
      </c>
      <c r="AN11" s="161">
        <f t="shared" si="1"/>
        <v>239937</v>
      </c>
      <c r="AO11" s="161">
        <f>SUM(AO12:AO16)</f>
        <v>234213</v>
      </c>
      <c r="AP11" s="376">
        <f>SUM(AP12:AP16)</f>
        <v>235432</v>
      </c>
      <c r="AQ11" s="376">
        <f>SUM(AQ12:AQ16)</f>
        <v>260120</v>
      </c>
      <c r="AR11" s="376">
        <f>SUM(AR12:AR16)</f>
        <v>259576.70699999999</v>
      </c>
      <c r="AS11" s="377">
        <f>SUM(AS12:AS16)</f>
        <v>265278</v>
      </c>
    </row>
    <row r="12" spans="1:220" s="164" customFormat="1" ht="15" customHeight="1" x14ac:dyDescent="0.2">
      <c r="A12" s="139" t="s">
        <v>265</v>
      </c>
      <c r="B12" s="165">
        <v>20115</v>
      </c>
      <c r="C12" s="165">
        <v>21019</v>
      </c>
      <c r="D12" s="165">
        <v>22134</v>
      </c>
      <c r="E12" s="165">
        <v>28495</v>
      </c>
      <c r="F12" s="165">
        <v>25846</v>
      </c>
      <c r="G12" s="165">
        <v>25843</v>
      </c>
      <c r="H12" s="166">
        <v>26694</v>
      </c>
      <c r="I12" s="166">
        <v>27610</v>
      </c>
      <c r="J12" s="166">
        <v>25000</v>
      </c>
      <c r="K12" s="166">
        <v>27416</v>
      </c>
      <c r="L12" s="166">
        <v>29298</v>
      </c>
      <c r="M12" s="166">
        <v>34627</v>
      </c>
      <c r="N12" s="166">
        <v>31590</v>
      </c>
      <c r="O12" s="166">
        <v>32754</v>
      </c>
      <c r="P12" s="166">
        <v>33904</v>
      </c>
      <c r="Q12" s="166">
        <v>36225</v>
      </c>
      <c r="R12" s="166">
        <v>31778</v>
      </c>
      <c r="S12" s="166">
        <v>33007</v>
      </c>
      <c r="T12" s="166">
        <v>31862</v>
      </c>
      <c r="U12" s="166">
        <v>33121</v>
      </c>
      <c r="V12" s="166">
        <v>31955</v>
      </c>
      <c r="W12" s="166">
        <v>32529</v>
      </c>
      <c r="X12" s="166">
        <v>33627</v>
      </c>
      <c r="Y12" s="166">
        <v>38412</v>
      </c>
      <c r="Z12" s="166">
        <v>35714</v>
      </c>
      <c r="AA12" s="166">
        <v>36586</v>
      </c>
      <c r="AB12" s="166">
        <v>39456</v>
      </c>
      <c r="AC12" s="166">
        <v>40618</v>
      </c>
      <c r="AD12" s="166">
        <v>38569</v>
      </c>
      <c r="AE12" s="166">
        <v>36176</v>
      </c>
      <c r="AF12" s="166">
        <v>33300</v>
      </c>
      <c r="AG12" s="166">
        <v>33029</v>
      </c>
      <c r="AH12" s="166">
        <v>30230</v>
      </c>
      <c r="AI12" s="166">
        <v>26125</v>
      </c>
      <c r="AJ12" s="166">
        <v>24267</v>
      </c>
      <c r="AK12" s="166">
        <v>23819</v>
      </c>
      <c r="AL12" s="166">
        <v>22590</v>
      </c>
      <c r="AM12" s="166">
        <v>23217</v>
      </c>
      <c r="AN12" s="166">
        <v>32678</v>
      </c>
      <c r="AO12" s="166">
        <v>33419</v>
      </c>
      <c r="AP12" s="373">
        <v>30564</v>
      </c>
      <c r="AQ12" s="373">
        <v>30601</v>
      </c>
      <c r="AR12" s="373">
        <v>30323.788</v>
      </c>
      <c r="AS12" s="374">
        <v>33918</v>
      </c>
    </row>
    <row r="13" spans="1:220" s="164" customFormat="1" ht="15" customHeight="1" x14ac:dyDescent="0.2">
      <c r="A13" s="139" t="s">
        <v>266</v>
      </c>
      <c r="B13" s="165">
        <v>27609</v>
      </c>
      <c r="C13" s="165">
        <v>28406</v>
      </c>
      <c r="D13" s="165">
        <v>30231</v>
      </c>
      <c r="E13" s="165">
        <v>32813</v>
      </c>
      <c r="F13" s="165">
        <v>33290</v>
      </c>
      <c r="G13" s="165">
        <v>34150</v>
      </c>
      <c r="H13" s="166">
        <v>35681</v>
      </c>
      <c r="I13" s="166">
        <v>37768</v>
      </c>
      <c r="J13" s="166">
        <v>37392</v>
      </c>
      <c r="K13" s="166">
        <v>38503</v>
      </c>
      <c r="L13" s="166">
        <v>40922</v>
      </c>
      <c r="M13" s="166">
        <v>44162</v>
      </c>
      <c r="N13" s="166">
        <v>45195</v>
      </c>
      <c r="O13" s="166">
        <v>47332</v>
      </c>
      <c r="P13" s="166">
        <v>50113</v>
      </c>
      <c r="Q13" s="166">
        <v>53436</v>
      </c>
      <c r="R13" s="166">
        <v>54625</v>
      </c>
      <c r="S13" s="166">
        <v>54811</v>
      </c>
      <c r="T13" s="166">
        <v>56584</v>
      </c>
      <c r="U13" s="166">
        <v>59656</v>
      </c>
      <c r="V13" s="166">
        <v>59924</v>
      </c>
      <c r="W13" s="166">
        <v>62308</v>
      </c>
      <c r="X13" s="166">
        <v>65540</v>
      </c>
      <c r="Y13" s="166">
        <v>69042</v>
      </c>
      <c r="Z13" s="166">
        <v>70163</v>
      </c>
      <c r="AA13" s="166">
        <v>72627</v>
      </c>
      <c r="AB13" s="166">
        <v>76488</v>
      </c>
      <c r="AC13" s="166">
        <v>80718</v>
      </c>
      <c r="AD13" s="166">
        <v>82098</v>
      </c>
      <c r="AE13" s="166">
        <v>84319</v>
      </c>
      <c r="AF13" s="166">
        <v>87293</v>
      </c>
      <c r="AG13" s="166">
        <v>92155</v>
      </c>
      <c r="AH13" s="166">
        <v>91741</v>
      </c>
      <c r="AI13" s="166">
        <v>91008</v>
      </c>
      <c r="AJ13" s="166">
        <v>89616</v>
      </c>
      <c r="AK13" s="166">
        <v>91879</v>
      </c>
      <c r="AL13" s="166">
        <v>88261</v>
      </c>
      <c r="AM13" s="166">
        <v>87209</v>
      </c>
      <c r="AN13" s="166">
        <v>93289</v>
      </c>
      <c r="AO13" s="166">
        <v>97089</v>
      </c>
      <c r="AP13" s="373">
        <v>94353</v>
      </c>
      <c r="AQ13" s="373">
        <v>95737</v>
      </c>
      <c r="AR13" s="373">
        <v>98223.968999999997</v>
      </c>
      <c r="AS13" s="374">
        <v>103333</v>
      </c>
    </row>
    <row r="14" spans="1:220" s="164" customFormat="1" ht="15" customHeight="1" x14ac:dyDescent="0.2">
      <c r="A14" s="139" t="s">
        <v>267</v>
      </c>
      <c r="B14" s="165">
        <v>158</v>
      </c>
      <c r="C14" s="165">
        <v>231</v>
      </c>
      <c r="D14" s="165">
        <v>197</v>
      </c>
      <c r="E14" s="165">
        <v>373</v>
      </c>
      <c r="F14" s="165">
        <v>310</v>
      </c>
      <c r="G14" s="165">
        <v>485</v>
      </c>
      <c r="H14" s="166">
        <v>340</v>
      </c>
      <c r="I14" s="166">
        <v>698</v>
      </c>
      <c r="J14" s="166">
        <v>406</v>
      </c>
      <c r="K14" s="166">
        <v>489</v>
      </c>
      <c r="L14" s="166">
        <v>739</v>
      </c>
      <c r="M14" s="166">
        <v>752</v>
      </c>
      <c r="N14" s="166">
        <v>366</v>
      </c>
      <c r="O14" s="166">
        <v>455</v>
      </c>
      <c r="P14" s="166">
        <v>445</v>
      </c>
      <c r="Q14" s="166">
        <v>275</v>
      </c>
      <c r="R14" s="166">
        <v>252</v>
      </c>
      <c r="S14" s="166">
        <v>329</v>
      </c>
      <c r="T14" s="166">
        <v>370</v>
      </c>
      <c r="U14" s="166">
        <v>520</v>
      </c>
      <c r="V14" s="166">
        <v>513</v>
      </c>
      <c r="W14" s="166">
        <v>472</v>
      </c>
      <c r="X14" s="166">
        <v>323</v>
      </c>
      <c r="Y14" s="166">
        <v>382</v>
      </c>
      <c r="Z14" s="166">
        <v>488</v>
      </c>
      <c r="AA14" s="166">
        <v>699</v>
      </c>
      <c r="AB14" s="166">
        <v>841</v>
      </c>
      <c r="AC14" s="166">
        <v>964</v>
      </c>
      <c r="AD14" s="166">
        <v>655</v>
      </c>
      <c r="AE14" s="166">
        <v>521</v>
      </c>
      <c r="AF14" s="166">
        <v>674</v>
      </c>
      <c r="AG14" s="166">
        <v>641</v>
      </c>
      <c r="AH14" s="166">
        <v>455</v>
      </c>
      <c r="AI14" s="166">
        <v>731</v>
      </c>
      <c r="AJ14" s="166">
        <v>1017</v>
      </c>
      <c r="AK14" s="166">
        <v>466</v>
      </c>
      <c r="AL14" s="166">
        <v>587</v>
      </c>
      <c r="AM14" s="166">
        <v>511</v>
      </c>
      <c r="AN14" s="166">
        <v>756</v>
      </c>
      <c r="AO14" s="166">
        <v>589</v>
      </c>
      <c r="AP14" s="373">
        <f>513+58</f>
        <v>571</v>
      </c>
      <c r="AQ14" s="373">
        <v>530</v>
      </c>
      <c r="AR14" s="373">
        <f>1559.062+48.402</f>
        <v>1607.4639999999999</v>
      </c>
      <c r="AS14" s="374">
        <v>2248</v>
      </c>
    </row>
    <row r="15" spans="1:220" s="164" customFormat="1" ht="15" customHeight="1" x14ac:dyDescent="0.2">
      <c r="A15" s="139" t="s">
        <v>268</v>
      </c>
      <c r="B15" s="165">
        <v>35687</v>
      </c>
      <c r="C15" s="165">
        <v>32360</v>
      </c>
      <c r="D15" s="165">
        <v>33483</v>
      </c>
      <c r="E15" s="165">
        <v>35717</v>
      </c>
      <c r="F15" s="165">
        <v>46430</v>
      </c>
      <c r="G15" s="165">
        <v>61343</v>
      </c>
      <c r="H15" s="166">
        <v>75529</v>
      </c>
      <c r="I15" s="166">
        <v>97414</v>
      </c>
      <c r="J15" s="166">
        <v>105424</v>
      </c>
      <c r="K15" s="166">
        <v>100142</v>
      </c>
      <c r="L15" s="166">
        <v>96033</v>
      </c>
      <c r="M15" s="166">
        <v>90496</v>
      </c>
      <c r="N15" s="166">
        <v>92577</v>
      </c>
      <c r="O15" s="166">
        <v>96824</v>
      </c>
      <c r="P15" s="166">
        <v>100730</v>
      </c>
      <c r="Q15" s="166">
        <v>102158</v>
      </c>
      <c r="R15" s="166">
        <v>116054</v>
      </c>
      <c r="S15" s="166">
        <v>125385</v>
      </c>
      <c r="T15" s="166">
        <v>135848</v>
      </c>
      <c r="U15" s="166">
        <v>124127</v>
      </c>
      <c r="V15" s="166">
        <v>121485</v>
      </c>
      <c r="W15" s="166">
        <v>121761</v>
      </c>
      <c r="X15" s="166">
        <v>113379</v>
      </c>
      <c r="Y15" s="166">
        <v>104022</v>
      </c>
      <c r="Z15" s="166">
        <v>99505</v>
      </c>
      <c r="AA15" s="166">
        <v>98573</v>
      </c>
      <c r="AB15" s="166">
        <v>99993</v>
      </c>
      <c r="AC15" s="166">
        <v>95763</v>
      </c>
      <c r="AD15" s="166">
        <v>97387</v>
      </c>
      <c r="AE15" s="166">
        <v>92254</v>
      </c>
      <c r="AF15" s="166">
        <v>90615</v>
      </c>
      <c r="AG15" s="166">
        <v>85787</v>
      </c>
      <c r="AH15" s="166">
        <v>89276</v>
      </c>
      <c r="AI15" s="166">
        <v>78062</v>
      </c>
      <c r="AJ15" s="166">
        <v>88737</v>
      </c>
      <c r="AK15" s="166">
        <v>79595</v>
      </c>
      <c r="AL15" s="166">
        <v>77754</v>
      </c>
      <c r="AM15" s="166">
        <v>68499</v>
      </c>
      <c r="AN15" s="166">
        <v>113214</v>
      </c>
      <c r="AO15" s="166">
        <v>103116</v>
      </c>
      <c r="AP15" s="373">
        <f>33230+76714</f>
        <v>109944</v>
      </c>
      <c r="AQ15" s="373">
        <v>133252</v>
      </c>
      <c r="AR15" s="373">
        <f>26883.268+102538.218</f>
        <v>129421.48599999999</v>
      </c>
      <c r="AS15" s="374">
        <v>125615</v>
      </c>
    </row>
    <row r="16" spans="1:220" s="164" customFormat="1" ht="15" customHeight="1" x14ac:dyDescent="0.2">
      <c r="A16" s="139" t="s">
        <v>269</v>
      </c>
      <c r="B16" s="165">
        <v>593</v>
      </c>
      <c r="C16" s="165">
        <v>585</v>
      </c>
      <c r="D16" s="165">
        <v>691</v>
      </c>
      <c r="E16" s="165">
        <v>925</v>
      </c>
      <c r="F16" s="165">
        <v>834</v>
      </c>
      <c r="G16" s="165">
        <v>931</v>
      </c>
      <c r="H16" s="166">
        <v>926</v>
      </c>
      <c r="I16" s="166">
        <v>1003</v>
      </c>
      <c r="J16" s="166">
        <v>881</v>
      </c>
      <c r="K16" s="166">
        <v>962</v>
      </c>
      <c r="L16" s="166">
        <v>995</v>
      </c>
      <c r="M16" s="166">
        <v>1036</v>
      </c>
      <c r="N16" s="166">
        <v>994</v>
      </c>
      <c r="O16" s="166">
        <v>1087</v>
      </c>
      <c r="P16" s="166">
        <v>1002</v>
      </c>
      <c r="Q16" s="166">
        <v>1107</v>
      </c>
      <c r="R16" s="166">
        <v>1113</v>
      </c>
      <c r="S16" s="166">
        <v>29</v>
      </c>
      <c r="T16" s="166">
        <v>0</v>
      </c>
      <c r="U16" s="166">
        <v>0</v>
      </c>
      <c r="V16" s="166">
        <v>0</v>
      </c>
      <c r="W16" s="166">
        <v>0</v>
      </c>
      <c r="X16" s="166">
        <v>0</v>
      </c>
      <c r="Y16" s="166">
        <v>0</v>
      </c>
      <c r="Z16" s="166">
        <v>0</v>
      </c>
      <c r="AA16" s="166">
        <v>0</v>
      </c>
      <c r="AB16" s="166">
        <v>0</v>
      </c>
      <c r="AC16" s="166">
        <v>0</v>
      </c>
      <c r="AD16" s="166">
        <v>0</v>
      </c>
      <c r="AE16" s="166">
        <v>0</v>
      </c>
      <c r="AF16" s="166">
        <v>0</v>
      </c>
      <c r="AG16" s="166">
        <v>0</v>
      </c>
      <c r="AH16" s="166">
        <v>0</v>
      </c>
      <c r="AI16" s="166">
        <v>0</v>
      </c>
      <c r="AJ16" s="166">
        <v>0</v>
      </c>
      <c r="AK16" s="166">
        <v>0</v>
      </c>
      <c r="AL16" s="166">
        <v>0</v>
      </c>
      <c r="AM16" s="166">
        <v>0</v>
      </c>
      <c r="AN16" s="166">
        <v>0</v>
      </c>
      <c r="AO16" s="166">
        <v>0</v>
      </c>
      <c r="AP16" s="373">
        <v>0</v>
      </c>
      <c r="AQ16" s="373">
        <v>0</v>
      </c>
      <c r="AR16" s="373">
        <v>0</v>
      </c>
      <c r="AS16" s="374">
        <v>164</v>
      </c>
    </row>
    <row r="17" spans="1:45" s="164" customFormat="1" ht="15" customHeight="1" x14ac:dyDescent="0.2">
      <c r="A17" s="145" t="s">
        <v>270</v>
      </c>
      <c r="B17" s="161">
        <f t="shared" ref="B17:AN17" si="2">SUM(B18:B20)</f>
        <v>50901</v>
      </c>
      <c r="C17" s="161">
        <f t="shared" si="2"/>
        <v>53756</v>
      </c>
      <c r="D17" s="161">
        <f t="shared" si="2"/>
        <v>68621</v>
      </c>
      <c r="E17" s="161">
        <f t="shared" si="2"/>
        <v>73634</v>
      </c>
      <c r="F17" s="161">
        <f t="shared" si="2"/>
        <v>69540</v>
      </c>
      <c r="G17" s="161">
        <f t="shared" si="2"/>
        <v>98278</v>
      </c>
      <c r="H17" s="161">
        <f t="shared" si="2"/>
        <v>87464</v>
      </c>
      <c r="I17" s="161">
        <f t="shared" si="2"/>
        <v>79977</v>
      </c>
      <c r="J17" s="161">
        <f t="shared" si="2"/>
        <v>91660</v>
      </c>
      <c r="K17" s="161">
        <f t="shared" si="2"/>
        <v>99710</v>
      </c>
      <c r="L17" s="161">
        <f t="shared" si="2"/>
        <v>102604</v>
      </c>
      <c r="M17" s="161">
        <f t="shared" si="2"/>
        <v>113273</v>
      </c>
      <c r="N17" s="161">
        <f t="shared" si="2"/>
        <v>128172</v>
      </c>
      <c r="O17" s="161">
        <f t="shared" si="2"/>
        <v>131134</v>
      </c>
      <c r="P17" s="161">
        <f t="shared" si="2"/>
        <v>157009</v>
      </c>
      <c r="Q17" s="161">
        <f t="shared" si="2"/>
        <v>171497</v>
      </c>
      <c r="R17" s="161">
        <f t="shared" si="2"/>
        <v>178989</v>
      </c>
      <c r="S17" s="161">
        <f t="shared" si="2"/>
        <v>164204</v>
      </c>
      <c r="T17" s="161">
        <f t="shared" si="2"/>
        <v>171458</v>
      </c>
      <c r="U17" s="161">
        <f t="shared" si="2"/>
        <v>197448</v>
      </c>
      <c r="V17" s="161">
        <f t="shared" si="2"/>
        <v>213930</v>
      </c>
      <c r="W17" s="161">
        <f t="shared" si="2"/>
        <v>225974</v>
      </c>
      <c r="X17" s="161">
        <f t="shared" si="2"/>
        <v>245538</v>
      </c>
      <c r="Y17" s="161">
        <f t="shared" si="2"/>
        <v>255591</v>
      </c>
      <c r="Z17" s="161">
        <f t="shared" si="2"/>
        <v>281045</v>
      </c>
      <c r="AA17" s="161">
        <f t="shared" si="2"/>
        <v>266825</v>
      </c>
      <c r="AB17" s="161">
        <f t="shared" si="2"/>
        <v>258580</v>
      </c>
      <c r="AC17" s="161">
        <f t="shared" si="2"/>
        <v>256279</v>
      </c>
      <c r="AD17" s="161">
        <f t="shared" si="2"/>
        <v>250716</v>
      </c>
      <c r="AE17" s="161">
        <f t="shared" si="2"/>
        <v>255611</v>
      </c>
      <c r="AF17" s="161">
        <f t="shared" si="2"/>
        <v>297814</v>
      </c>
      <c r="AG17" s="161">
        <f t="shared" si="2"/>
        <v>320194</v>
      </c>
      <c r="AH17" s="161">
        <f t="shared" si="2"/>
        <v>303740</v>
      </c>
      <c r="AI17" s="161">
        <f t="shared" si="2"/>
        <v>293730</v>
      </c>
      <c r="AJ17" s="161">
        <f t="shared" si="2"/>
        <v>257847</v>
      </c>
      <c r="AK17" s="161">
        <f t="shared" si="2"/>
        <v>279726</v>
      </c>
      <c r="AL17" s="161">
        <f t="shared" si="2"/>
        <v>297350</v>
      </c>
      <c r="AM17" s="161">
        <f t="shared" si="2"/>
        <v>287117</v>
      </c>
      <c r="AN17" s="161">
        <f t="shared" si="2"/>
        <v>320556</v>
      </c>
      <c r="AO17" s="161">
        <f>SUM(AO18:AO20)</f>
        <v>349070</v>
      </c>
      <c r="AP17" s="376">
        <f>SUM(AP18:AP20)</f>
        <v>351263</v>
      </c>
      <c r="AQ17" s="376">
        <f>SUM(AQ18:AQ20)</f>
        <v>316026</v>
      </c>
      <c r="AR17" s="376">
        <f>SUM(AR18:AR20)</f>
        <v>334060.10499999998</v>
      </c>
      <c r="AS17" s="377">
        <f>SUM(AS18:AS20)</f>
        <v>313562</v>
      </c>
    </row>
    <row r="18" spans="1:45" s="164" customFormat="1" ht="15" customHeight="1" x14ac:dyDescent="0.2">
      <c r="A18" s="139" t="s">
        <v>213</v>
      </c>
      <c r="B18" s="165">
        <v>29352</v>
      </c>
      <c r="C18" s="165">
        <v>32353</v>
      </c>
      <c r="D18" s="165">
        <v>35049</v>
      </c>
      <c r="E18" s="165">
        <v>37865</v>
      </c>
      <c r="F18" s="165">
        <v>35467</v>
      </c>
      <c r="G18" s="165">
        <v>42280</v>
      </c>
      <c r="H18" s="166">
        <v>39628</v>
      </c>
      <c r="I18" s="166">
        <v>38219</v>
      </c>
      <c r="J18" s="166">
        <v>32614</v>
      </c>
      <c r="K18" s="166">
        <v>29677</v>
      </c>
      <c r="L18" s="166">
        <v>35496</v>
      </c>
      <c r="M18" s="166">
        <v>44258</v>
      </c>
      <c r="N18" s="166">
        <v>60494</v>
      </c>
      <c r="O18" s="166">
        <v>57691</v>
      </c>
      <c r="P18" s="166">
        <v>96827</v>
      </c>
      <c r="Q18" s="166">
        <v>119487</v>
      </c>
      <c r="R18" s="166">
        <v>120775</v>
      </c>
      <c r="S18" s="166">
        <v>122649</v>
      </c>
      <c r="T18" s="166">
        <v>131298</v>
      </c>
      <c r="U18" s="166">
        <v>128895</v>
      </c>
      <c r="V18" s="166">
        <v>145618</v>
      </c>
      <c r="W18" s="166">
        <v>152256</v>
      </c>
      <c r="X18" s="166">
        <v>136013</v>
      </c>
      <c r="Y18" s="166">
        <v>118235</v>
      </c>
      <c r="Z18" s="166">
        <v>121147</v>
      </c>
      <c r="AA18" s="166">
        <v>135424</v>
      </c>
      <c r="AB18" s="166">
        <v>126471</v>
      </c>
      <c r="AC18" s="166">
        <v>138550</v>
      </c>
      <c r="AD18" s="166">
        <v>137073</v>
      </c>
      <c r="AE18" s="166">
        <v>131700</v>
      </c>
      <c r="AF18" s="166">
        <v>129775</v>
      </c>
      <c r="AG18" s="166">
        <v>131922</v>
      </c>
      <c r="AH18" s="166">
        <v>117772</v>
      </c>
      <c r="AI18" s="166">
        <v>125228</v>
      </c>
      <c r="AJ18" s="166">
        <v>120129</v>
      </c>
      <c r="AK18" s="166">
        <v>148343</v>
      </c>
      <c r="AL18" s="166">
        <v>139229</v>
      </c>
      <c r="AM18" s="166">
        <v>154084</v>
      </c>
      <c r="AN18" s="166">
        <v>151659</v>
      </c>
      <c r="AO18" s="166">
        <v>174489</v>
      </c>
      <c r="AP18" s="373">
        <f>147748+17094</f>
        <v>164842</v>
      </c>
      <c r="AQ18" s="373">
        <v>138569</v>
      </c>
      <c r="AR18" s="373">
        <f>145971.453+11330.275</f>
        <v>157301.728</v>
      </c>
      <c r="AS18" s="374">
        <v>165542</v>
      </c>
    </row>
    <row r="19" spans="1:45" s="164" customFormat="1" ht="15" customHeight="1" x14ac:dyDescent="0.2">
      <c r="A19" s="139" t="s">
        <v>271</v>
      </c>
      <c r="B19" s="165">
        <v>20077</v>
      </c>
      <c r="C19" s="165">
        <v>19351</v>
      </c>
      <c r="D19" s="165">
        <v>25868</v>
      </c>
      <c r="E19" s="165">
        <v>29578</v>
      </c>
      <c r="F19" s="165">
        <v>30558</v>
      </c>
      <c r="G19" s="165">
        <v>52764</v>
      </c>
      <c r="H19" s="166">
        <v>45691</v>
      </c>
      <c r="I19" s="166">
        <v>39359</v>
      </c>
      <c r="J19" s="166">
        <v>55703</v>
      </c>
      <c r="K19" s="166">
        <v>68410</v>
      </c>
      <c r="L19" s="166">
        <v>66524</v>
      </c>
      <c r="M19" s="166">
        <v>68417</v>
      </c>
      <c r="N19" s="166">
        <v>66824</v>
      </c>
      <c r="O19" s="166">
        <v>72028</v>
      </c>
      <c r="P19" s="166">
        <v>56143</v>
      </c>
      <c r="Q19" s="166">
        <v>44084</v>
      </c>
      <c r="R19" s="166">
        <v>50793</v>
      </c>
      <c r="S19" s="166">
        <v>34996</v>
      </c>
      <c r="T19" s="166">
        <v>36250</v>
      </c>
      <c r="U19" s="166">
        <v>57751</v>
      </c>
      <c r="V19" s="166">
        <v>61895</v>
      </c>
      <c r="W19" s="166">
        <v>65861</v>
      </c>
      <c r="X19" s="166">
        <v>97005</v>
      </c>
      <c r="Y19" s="166">
        <v>123820</v>
      </c>
      <c r="Z19" s="166">
        <v>131299</v>
      </c>
      <c r="AA19" s="166">
        <v>110974</v>
      </c>
      <c r="AB19" s="166">
        <v>123414</v>
      </c>
      <c r="AC19" s="166">
        <v>112261</v>
      </c>
      <c r="AD19" s="166">
        <v>112796</v>
      </c>
      <c r="AE19" s="166">
        <v>122146</v>
      </c>
      <c r="AF19" s="166">
        <v>167151</v>
      </c>
      <c r="AG19" s="166">
        <v>187099</v>
      </c>
      <c r="AH19" s="166">
        <v>185055</v>
      </c>
      <c r="AI19" s="166">
        <v>166115</v>
      </c>
      <c r="AJ19" s="166">
        <v>136510</v>
      </c>
      <c r="AK19" s="166">
        <v>125892</v>
      </c>
      <c r="AL19" s="166">
        <v>156523</v>
      </c>
      <c r="AM19" s="166">
        <v>127734</v>
      </c>
      <c r="AN19" s="166">
        <v>158872</v>
      </c>
      <c r="AO19" s="166">
        <v>165034</v>
      </c>
      <c r="AP19" s="373">
        <v>176820</v>
      </c>
      <c r="AQ19" s="373">
        <v>165794</v>
      </c>
      <c r="AR19" s="373">
        <v>166359.49400000001</v>
      </c>
      <c r="AS19" s="374">
        <v>139306</v>
      </c>
    </row>
    <row r="20" spans="1:45" s="164" customFormat="1" ht="15" customHeight="1" x14ac:dyDescent="0.2">
      <c r="A20" s="172" t="s">
        <v>272</v>
      </c>
      <c r="B20" s="165">
        <v>1472</v>
      </c>
      <c r="C20" s="165">
        <v>2052</v>
      </c>
      <c r="D20" s="165">
        <v>7704</v>
      </c>
      <c r="E20" s="165">
        <v>6191</v>
      </c>
      <c r="F20" s="165">
        <v>3515</v>
      </c>
      <c r="G20" s="165">
        <v>3234</v>
      </c>
      <c r="H20" s="170">
        <v>2145</v>
      </c>
      <c r="I20" s="170">
        <v>2399</v>
      </c>
      <c r="J20" s="170">
        <v>3343</v>
      </c>
      <c r="K20" s="170">
        <v>1623</v>
      </c>
      <c r="L20" s="170">
        <v>584</v>
      </c>
      <c r="M20" s="170">
        <v>598</v>
      </c>
      <c r="N20" s="170">
        <v>854</v>
      </c>
      <c r="O20" s="170">
        <v>1415</v>
      </c>
      <c r="P20" s="170">
        <v>4039</v>
      </c>
      <c r="Q20" s="170">
        <v>7926</v>
      </c>
      <c r="R20" s="170">
        <v>7421</v>
      </c>
      <c r="S20" s="170">
        <v>6559</v>
      </c>
      <c r="T20" s="170">
        <v>3910</v>
      </c>
      <c r="U20" s="170">
        <v>10802</v>
      </c>
      <c r="V20" s="170">
        <v>6417</v>
      </c>
      <c r="W20" s="170">
        <v>7857</v>
      </c>
      <c r="X20" s="170">
        <v>12520</v>
      </c>
      <c r="Y20" s="170">
        <v>13536</v>
      </c>
      <c r="Z20" s="170">
        <v>28599</v>
      </c>
      <c r="AA20" s="170">
        <v>20427</v>
      </c>
      <c r="AB20" s="170">
        <v>8695</v>
      </c>
      <c r="AC20" s="170">
        <v>5468</v>
      </c>
      <c r="AD20" s="170">
        <v>847</v>
      </c>
      <c r="AE20" s="170">
        <v>1765</v>
      </c>
      <c r="AF20" s="170">
        <v>888</v>
      </c>
      <c r="AG20" s="170">
        <v>1173</v>
      </c>
      <c r="AH20" s="170">
        <v>913</v>
      </c>
      <c r="AI20" s="170">
        <v>2387</v>
      </c>
      <c r="AJ20" s="170">
        <v>1208</v>
      </c>
      <c r="AK20" s="170">
        <v>5491</v>
      </c>
      <c r="AL20" s="170">
        <v>1598</v>
      </c>
      <c r="AM20" s="170">
        <v>5299</v>
      </c>
      <c r="AN20" s="170">
        <v>10025</v>
      </c>
      <c r="AO20" s="170">
        <v>9547</v>
      </c>
      <c r="AP20" s="547">
        <v>9601</v>
      </c>
      <c r="AQ20" s="547">
        <v>11663</v>
      </c>
      <c r="AR20" s="547">
        <v>10398.883</v>
      </c>
      <c r="AS20" s="464">
        <v>8714</v>
      </c>
    </row>
    <row r="21" spans="1:45" s="164" customFormat="1" ht="15" customHeight="1" x14ac:dyDescent="0.2">
      <c r="A21" s="173" t="s">
        <v>273</v>
      </c>
      <c r="B21" s="161">
        <f t="shared" ref="B21:AN21" si="3">SUM(B22:B26)</f>
        <v>5879</v>
      </c>
      <c r="C21" s="161">
        <f t="shared" si="3"/>
        <v>6645</v>
      </c>
      <c r="D21" s="161">
        <f t="shared" si="3"/>
        <v>6597</v>
      </c>
      <c r="E21" s="161">
        <f t="shared" si="3"/>
        <v>6488</v>
      </c>
      <c r="F21" s="161">
        <f t="shared" si="3"/>
        <v>7222</v>
      </c>
      <c r="G21" s="161">
        <f t="shared" si="3"/>
        <v>5455</v>
      </c>
      <c r="H21" s="161">
        <f t="shared" si="3"/>
        <v>6535</v>
      </c>
      <c r="I21" s="161">
        <f t="shared" si="3"/>
        <v>9011</v>
      </c>
      <c r="J21" s="161">
        <f t="shared" si="3"/>
        <v>9280</v>
      </c>
      <c r="K21" s="161">
        <f t="shared" si="3"/>
        <v>7693</v>
      </c>
      <c r="L21" s="161">
        <f t="shared" si="3"/>
        <v>7111</v>
      </c>
      <c r="M21" s="161">
        <f t="shared" si="3"/>
        <v>7483</v>
      </c>
      <c r="N21" s="161">
        <f t="shared" si="3"/>
        <v>8550</v>
      </c>
      <c r="O21" s="161">
        <f t="shared" si="3"/>
        <v>12729</v>
      </c>
      <c r="P21" s="161">
        <f t="shared" si="3"/>
        <v>13750</v>
      </c>
      <c r="Q21" s="161">
        <f t="shared" si="3"/>
        <v>17674</v>
      </c>
      <c r="R21" s="161">
        <f t="shared" si="3"/>
        <v>21701</v>
      </c>
      <c r="S21" s="161">
        <f t="shared" si="3"/>
        <v>29044</v>
      </c>
      <c r="T21" s="161">
        <f t="shared" si="3"/>
        <v>32879</v>
      </c>
      <c r="U21" s="161">
        <f t="shared" si="3"/>
        <v>41522</v>
      </c>
      <c r="V21" s="161">
        <f t="shared" si="3"/>
        <v>48482</v>
      </c>
      <c r="W21" s="161">
        <f t="shared" si="3"/>
        <v>51158</v>
      </c>
      <c r="X21" s="161">
        <f t="shared" si="3"/>
        <v>53810</v>
      </c>
      <c r="Y21" s="161">
        <f t="shared" si="3"/>
        <v>51359</v>
      </c>
      <c r="Z21" s="161">
        <f t="shared" si="3"/>
        <v>47832</v>
      </c>
      <c r="AA21" s="161">
        <f t="shared" si="3"/>
        <v>53821</v>
      </c>
      <c r="AB21" s="161">
        <f t="shared" si="3"/>
        <v>55427</v>
      </c>
      <c r="AC21" s="161">
        <f t="shared" si="3"/>
        <v>57654</v>
      </c>
      <c r="AD21" s="161">
        <f t="shared" si="3"/>
        <v>64511</v>
      </c>
      <c r="AE21" s="161">
        <f t="shared" si="3"/>
        <v>69877</v>
      </c>
      <c r="AF21" s="161">
        <f t="shared" si="3"/>
        <v>75283</v>
      </c>
      <c r="AG21" s="161">
        <f t="shared" si="3"/>
        <v>84825</v>
      </c>
      <c r="AH21" s="161">
        <f t="shared" si="3"/>
        <v>88247</v>
      </c>
      <c r="AI21" s="161">
        <f t="shared" si="3"/>
        <v>95387</v>
      </c>
      <c r="AJ21" s="161">
        <f t="shared" si="3"/>
        <v>110987</v>
      </c>
      <c r="AK21" s="161">
        <f t="shared" si="3"/>
        <v>109546</v>
      </c>
      <c r="AL21" s="161">
        <f t="shared" si="3"/>
        <v>112617</v>
      </c>
      <c r="AM21" s="161">
        <f t="shared" si="3"/>
        <v>112817</v>
      </c>
      <c r="AN21" s="161">
        <f t="shared" si="3"/>
        <v>153976</v>
      </c>
      <c r="AO21" s="161">
        <f>SUM(AO22:AO26)</f>
        <v>150807</v>
      </c>
      <c r="AP21" s="376">
        <f>SUM(AP22:AP26)</f>
        <v>142751</v>
      </c>
      <c r="AQ21" s="376">
        <f>SUM(AQ22:AQ26)</f>
        <v>131510</v>
      </c>
      <c r="AR21" s="376">
        <f>SUM(AR22:AR26)</f>
        <v>135838.71000000002</v>
      </c>
      <c r="AS21" s="377">
        <f>SUM(AS22:AS26)</f>
        <v>135011</v>
      </c>
    </row>
    <row r="22" spans="1:45" s="164" customFormat="1" ht="15" customHeight="1" x14ac:dyDescent="0.2">
      <c r="A22" s="139" t="s">
        <v>274</v>
      </c>
      <c r="B22" s="165">
        <v>0</v>
      </c>
      <c r="C22" s="165">
        <v>7</v>
      </c>
      <c r="D22" s="165">
        <v>1</v>
      </c>
      <c r="E22" s="165">
        <v>0</v>
      </c>
      <c r="F22" s="165">
        <v>0</v>
      </c>
      <c r="G22" s="165">
        <v>29</v>
      </c>
      <c r="H22" s="166">
        <v>0</v>
      </c>
      <c r="I22" s="166">
        <v>0</v>
      </c>
      <c r="J22" s="166">
        <v>0</v>
      </c>
      <c r="K22" s="166">
        <v>0</v>
      </c>
      <c r="L22" s="166">
        <v>0</v>
      </c>
      <c r="M22" s="166">
        <v>0</v>
      </c>
      <c r="N22" s="166">
        <v>0</v>
      </c>
      <c r="O22" s="166">
        <v>0</v>
      </c>
      <c r="P22" s="166">
        <v>0</v>
      </c>
      <c r="Q22" s="166">
        <v>0</v>
      </c>
      <c r="R22" s="166">
        <v>0</v>
      </c>
      <c r="S22" s="166">
        <v>0</v>
      </c>
      <c r="T22" s="166">
        <v>0</v>
      </c>
      <c r="U22" s="166">
        <v>0</v>
      </c>
      <c r="V22" s="166">
        <v>0</v>
      </c>
      <c r="W22" s="166">
        <v>0</v>
      </c>
      <c r="X22" s="166">
        <v>0</v>
      </c>
      <c r="Y22" s="166">
        <v>0</v>
      </c>
      <c r="Z22" s="166">
        <v>0</v>
      </c>
      <c r="AA22" s="166">
        <v>0</v>
      </c>
      <c r="AB22" s="166">
        <v>0</v>
      </c>
      <c r="AC22" s="166">
        <v>0</v>
      </c>
      <c r="AD22" s="166">
        <v>0</v>
      </c>
      <c r="AE22" s="166">
        <v>0</v>
      </c>
      <c r="AF22" s="166">
        <v>0</v>
      </c>
      <c r="AG22" s="166">
        <v>0</v>
      </c>
      <c r="AH22" s="166">
        <v>0</v>
      </c>
      <c r="AI22" s="166">
        <v>0</v>
      </c>
      <c r="AJ22" s="166">
        <v>0</v>
      </c>
      <c r="AK22" s="166">
        <v>0</v>
      </c>
      <c r="AL22" s="166">
        <v>0</v>
      </c>
      <c r="AM22" s="166">
        <v>0</v>
      </c>
      <c r="AN22" s="166">
        <v>0</v>
      </c>
      <c r="AO22" s="166">
        <v>0</v>
      </c>
      <c r="AP22" s="373">
        <v>0</v>
      </c>
      <c r="AQ22" s="373">
        <v>0</v>
      </c>
      <c r="AR22" s="373">
        <v>0</v>
      </c>
      <c r="AS22" s="374">
        <v>0</v>
      </c>
    </row>
    <row r="23" spans="1:45" s="164" customFormat="1" ht="15" customHeight="1" x14ac:dyDescent="0.2">
      <c r="A23" s="139" t="s">
        <v>275</v>
      </c>
      <c r="B23" s="165">
        <v>879</v>
      </c>
      <c r="C23" s="165">
        <v>875</v>
      </c>
      <c r="D23" s="165">
        <v>879</v>
      </c>
      <c r="E23" s="165">
        <v>902</v>
      </c>
      <c r="F23" s="165">
        <v>975</v>
      </c>
      <c r="G23" s="165">
        <v>1027</v>
      </c>
      <c r="H23" s="166">
        <v>1586</v>
      </c>
      <c r="I23" s="166">
        <v>2322</v>
      </c>
      <c r="J23" s="166">
        <v>2421</v>
      </c>
      <c r="K23" s="166">
        <v>2485</v>
      </c>
      <c r="L23" s="166">
        <v>2295</v>
      </c>
      <c r="M23" s="166">
        <v>2485</v>
      </c>
      <c r="N23" s="166">
        <v>2460</v>
      </c>
      <c r="O23" s="166">
        <v>6270</v>
      </c>
      <c r="P23" s="166">
        <v>7438</v>
      </c>
      <c r="Q23" s="166">
        <v>11574</v>
      </c>
      <c r="R23" s="166">
        <v>15828</v>
      </c>
      <c r="S23" s="166">
        <v>22106</v>
      </c>
      <c r="T23" s="166">
        <v>24727</v>
      </c>
      <c r="U23" s="166">
        <v>33112</v>
      </c>
      <c r="V23" s="166">
        <v>39001</v>
      </c>
      <c r="W23" s="166">
        <v>38774</v>
      </c>
      <c r="X23" s="166">
        <v>39813</v>
      </c>
      <c r="Y23" s="166">
        <v>37171</v>
      </c>
      <c r="Z23" s="166">
        <v>34612</v>
      </c>
      <c r="AA23" s="166">
        <v>41700</v>
      </c>
      <c r="AB23" s="166">
        <v>43952</v>
      </c>
      <c r="AC23" s="166">
        <v>46179</v>
      </c>
      <c r="AD23" s="166">
        <v>53946</v>
      </c>
      <c r="AE23" s="166">
        <v>61599</v>
      </c>
      <c r="AF23" s="166">
        <v>66502</v>
      </c>
      <c r="AG23" s="166">
        <v>75799</v>
      </c>
      <c r="AH23" s="166">
        <v>79917</v>
      </c>
      <c r="AI23" s="166">
        <v>86884</v>
      </c>
      <c r="AJ23" s="166">
        <v>100808</v>
      </c>
      <c r="AK23" s="166">
        <v>99557</v>
      </c>
      <c r="AL23" s="166">
        <v>103190</v>
      </c>
      <c r="AM23" s="166">
        <v>106083</v>
      </c>
      <c r="AN23" s="166">
        <v>147263</v>
      </c>
      <c r="AO23" s="166">
        <v>144547</v>
      </c>
      <c r="AP23" s="373">
        <f>89817+49616+1</f>
        <v>139434</v>
      </c>
      <c r="AQ23" s="373">
        <v>128129</v>
      </c>
      <c r="AR23" s="373">
        <f>79708.6+52944.128</f>
        <v>132652.728</v>
      </c>
      <c r="AS23" s="374">
        <v>131565</v>
      </c>
    </row>
    <row r="24" spans="1:45" s="164" customFormat="1" ht="15" customHeight="1" x14ac:dyDescent="0.2">
      <c r="A24" s="139" t="s">
        <v>93</v>
      </c>
      <c r="B24" s="165">
        <v>2684</v>
      </c>
      <c r="C24" s="165">
        <v>2601</v>
      </c>
      <c r="D24" s="165">
        <v>2675</v>
      </c>
      <c r="E24" s="165">
        <v>2595</v>
      </c>
      <c r="F24" s="165">
        <v>2664</v>
      </c>
      <c r="G24" s="165">
        <v>1482</v>
      </c>
      <c r="H24" s="166">
        <v>1532</v>
      </c>
      <c r="I24" s="166">
        <v>1487</v>
      </c>
      <c r="J24" s="166">
        <v>1531</v>
      </c>
      <c r="K24" s="166">
        <v>741</v>
      </c>
      <c r="L24" s="166">
        <v>758</v>
      </c>
      <c r="M24" s="166">
        <v>740</v>
      </c>
      <c r="N24" s="166">
        <v>756</v>
      </c>
      <c r="O24" s="166">
        <v>741</v>
      </c>
      <c r="P24" s="166">
        <v>762</v>
      </c>
      <c r="Q24" s="166">
        <v>743</v>
      </c>
      <c r="R24" s="166">
        <v>764</v>
      </c>
      <c r="S24" s="166">
        <v>0</v>
      </c>
      <c r="T24" s="166">
        <v>0</v>
      </c>
      <c r="U24" s="166">
        <v>0</v>
      </c>
      <c r="V24" s="166">
        <v>0</v>
      </c>
      <c r="W24" s="166">
        <v>0</v>
      </c>
      <c r="X24" s="166">
        <v>0</v>
      </c>
      <c r="Y24" s="166">
        <v>0</v>
      </c>
      <c r="Z24" s="166">
        <v>0</v>
      </c>
      <c r="AA24" s="166">
        <v>0</v>
      </c>
      <c r="AB24" s="166">
        <v>0</v>
      </c>
      <c r="AC24" s="166">
        <v>0</v>
      </c>
      <c r="AD24" s="166">
        <v>0</v>
      </c>
      <c r="AE24" s="166">
        <v>0</v>
      </c>
      <c r="AF24" s="166">
        <v>0</v>
      </c>
      <c r="AG24" s="166">
        <v>0</v>
      </c>
      <c r="AH24" s="166">
        <v>0</v>
      </c>
      <c r="AI24" s="166">
        <v>0</v>
      </c>
      <c r="AJ24" s="166">
        <v>0</v>
      </c>
      <c r="AK24" s="166">
        <v>0</v>
      </c>
      <c r="AL24" s="166">
        <v>0</v>
      </c>
      <c r="AM24" s="166">
        <v>0</v>
      </c>
      <c r="AN24" s="166">
        <v>0</v>
      </c>
      <c r="AO24" s="166">
        <v>0</v>
      </c>
      <c r="AP24" s="373">
        <v>0</v>
      </c>
      <c r="AQ24" s="373">
        <v>0</v>
      </c>
      <c r="AR24" s="373">
        <v>0</v>
      </c>
      <c r="AS24" s="374">
        <v>0</v>
      </c>
    </row>
    <row r="25" spans="1:45" s="164" customFormat="1" ht="15" customHeight="1" x14ac:dyDescent="0.2">
      <c r="A25" s="139" t="s">
        <v>276</v>
      </c>
      <c r="B25" s="165">
        <v>2316</v>
      </c>
      <c r="C25" s="165">
        <v>3162</v>
      </c>
      <c r="D25" s="165">
        <v>3042</v>
      </c>
      <c r="E25" s="165">
        <v>2991</v>
      </c>
      <c r="F25" s="165">
        <v>3583</v>
      </c>
      <c r="G25" s="165">
        <v>2917</v>
      </c>
      <c r="H25" s="166">
        <v>3417</v>
      </c>
      <c r="I25" s="166">
        <v>5202</v>
      </c>
      <c r="J25" s="166">
        <v>5328</v>
      </c>
      <c r="K25" s="166">
        <v>4467</v>
      </c>
      <c r="L25" s="166">
        <v>4058</v>
      </c>
      <c r="M25" s="166">
        <v>4258</v>
      </c>
      <c r="N25" s="166">
        <v>5334</v>
      </c>
      <c r="O25" s="166">
        <v>5718</v>
      </c>
      <c r="P25" s="166">
        <v>5550</v>
      </c>
      <c r="Q25" s="166">
        <v>5357</v>
      </c>
      <c r="R25" s="166">
        <v>5109</v>
      </c>
      <c r="S25" s="166">
        <v>6938</v>
      </c>
      <c r="T25" s="166">
        <v>8152</v>
      </c>
      <c r="U25" s="166">
        <v>8410</v>
      </c>
      <c r="V25" s="166">
        <v>9481</v>
      </c>
      <c r="W25" s="166">
        <v>12384</v>
      </c>
      <c r="X25" s="166">
        <v>13997</v>
      </c>
      <c r="Y25" s="166">
        <v>14188</v>
      </c>
      <c r="Z25" s="166">
        <v>13220</v>
      </c>
      <c r="AA25" s="166">
        <v>12121</v>
      </c>
      <c r="AB25" s="166">
        <v>11475</v>
      </c>
      <c r="AC25" s="166">
        <v>11475</v>
      </c>
      <c r="AD25" s="166">
        <v>10395</v>
      </c>
      <c r="AE25" s="166">
        <v>8068</v>
      </c>
      <c r="AF25" s="166">
        <v>8529</v>
      </c>
      <c r="AG25" s="166">
        <v>8766</v>
      </c>
      <c r="AH25" s="166">
        <v>8076</v>
      </c>
      <c r="AI25" s="166">
        <v>8099</v>
      </c>
      <c r="AJ25" s="166">
        <v>9684</v>
      </c>
      <c r="AK25" s="166">
        <v>9477</v>
      </c>
      <c r="AL25" s="166">
        <v>8921</v>
      </c>
      <c r="AM25" s="166">
        <v>6297</v>
      </c>
      <c r="AN25" s="166">
        <v>6187</v>
      </c>
      <c r="AO25" s="166">
        <v>5815</v>
      </c>
      <c r="AP25" s="373">
        <f>342+2625</f>
        <v>2967</v>
      </c>
      <c r="AQ25" s="373">
        <v>2981</v>
      </c>
      <c r="AR25" s="373">
        <f>750.345+2123.662</f>
        <v>2874.0069999999996</v>
      </c>
      <c r="AS25" s="374">
        <v>3078</v>
      </c>
    </row>
    <row r="26" spans="1:45" s="164" customFormat="1" ht="15" customHeight="1" x14ac:dyDescent="0.2">
      <c r="A26" s="139" t="s">
        <v>277</v>
      </c>
      <c r="B26" s="165">
        <v>0</v>
      </c>
      <c r="C26" s="165">
        <v>0</v>
      </c>
      <c r="D26" s="165">
        <v>0</v>
      </c>
      <c r="E26" s="165">
        <v>0</v>
      </c>
      <c r="F26" s="165">
        <v>0</v>
      </c>
      <c r="G26" s="165">
        <v>0</v>
      </c>
      <c r="H26" s="166">
        <v>0</v>
      </c>
      <c r="I26" s="166">
        <v>0</v>
      </c>
      <c r="J26" s="166">
        <v>0</v>
      </c>
      <c r="K26" s="166">
        <v>0</v>
      </c>
      <c r="L26" s="166">
        <v>0</v>
      </c>
      <c r="M26" s="166">
        <v>0</v>
      </c>
      <c r="N26" s="166">
        <v>0</v>
      </c>
      <c r="O26" s="166">
        <v>0</v>
      </c>
      <c r="P26" s="166">
        <v>0</v>
      </c>
      <c r="Q26" s="166">
        <v>0</v>
      </c>
      <c r="R26" s="166">
        <v>0</v>
      </c>
      <c r="S26" s="166">
        <v>0</v>
      </c>
      <c r="T26" s="166">
        <v>0</v>
      </c>
      <c r="U26" s="166">
        <v>0</v>
      </c>
      <c r="V26" s="166">
        <v>0</v>
      </c>
      <c r="W26" s="166">
        <v>0</v>
      </c>
      <c r="X26" s="166">
        <v>0</v>
      </c>
      <c r="Y26" s="166">
        <v>0</v>
      </c>
      <c r="Z26" s="166">
        <v>0</v>
      </c>
      <c r="AA26" s="166">
        <v>0</v>
      </c>
      <c r="AB26" s="166">
        <v>0</v>
      </c>
      <c r="AC26" s="166">
        <v>0</v>
      </c>
      <c r="AD26" s="166">
        <v>170</v>
      </c>
      <c r="AE26" s="166">
        <v>210</v>
      </c>
      <c r="AF26" s="166">
        <v>252</v>
      </c>
      <c r="AG26" s="166">
        <v>260</v>
      </c>
      <c r="AH26" s="166">
        <v>254</v>
      </c>
      <c r="AI26" s="166">
        <v>404</v>
      </c>
      <c r="AJ26" s="166">
        <v>495</v>
      </c>
      <c r="AK26" s="166">
        <v>512</v>
      </c>
      <c r="AL26" s="166">
        <v>506</v>
      </c>
      <c r="AM26" s="166">
        <v>437</v>
      </c>
      <c r="AN26" s="166">
        <v>526</v>
      </c>
      <c r="AO26" s="166">
        <v>445</v>
      </c>
      <c r="AP26" s="373">
        <f>310+40</f>
        <v>350</v>
      </c>
      <c r="AQ26" s="373">
        <v>400</v>
      </c>
      <c r="AR26" s="373">
        <f>150.053+161.922</f>
        <v>311.97500000000002</v>
      </c>
      <c r="AS26" s="374">
        <v>368</v>
      </c>
    </row>
    <row r="27" spans="1:45" s="164" customFormat="1" ht="15" customHeight="1" x14ac:dyDescent="0.2">
      <c r="A27" s="145" t="s">
        <v>218</v>
      </c>
      <c r="B27" s="161">
        <f t="shared" ref="B27:AN27" si="4">SUM(B28:B30)</f>
        <v>182</v>
      </c>
      <c r="C27" s="161">
        <f t="shared" si="4"/>
        <v>164</v>
      </c>
      <c r="D27" s="161">
        <f t="shared" si="4"/>
        <v>195</v>
      </c>
      <c r="E27" s="161">
        <f t="shared" si="4"/>
        <v>17</v>
      </c>
      <c r="F27" s="161">
        <f t="shared" si="4"/>
        <v>313</v>
      </c>
      <c r="G27" s="161">
        <f t="shared" si="4"/>
        <v>400</v>
      </c>
      <c r="H27" s="161">
        <f t="shared" si="4"/>
        <v>231</v>
      </c>
      <c r="I27" s="161">
        <f t="shared" si="4"/>
        <v>13</v>
      </c>
      <c r="J27" s="161">
        <f t="shared" si="4"/>
        <v>124</v>
      </c>
      <c r="K27" s="161">
        <f t="shared" si="4"/>
        <v>195</v>
      </c>
      <c r="L27" s="161">
        <f t="shared" si="4"/>
        <v>219</v>
      </c>
      <c r="M27" s="161">
        <f t="shared" si="4"/>
        <v>23</v>
      </c>
      <c r="N27" s="161">
        <f t="shared" si="4"/>
        <v>204</v>
      </c>
      <c r="O27" s="161">
        <f t="shared" si="4"/>
        <v>272</v>
      </c>
      <c r="P27" s="161">
        <f t="shared" si="4"/>
        <v>274</v>
      </c>
      <c r="Q27" s="161">
        <f t="shared" si="4"/>
        <v>40</v>
      </c>
      <c r="R27" s="161">
        <f t="shared" si="4"/>
        <v>226</v>
      </c>
      <c r="S27" s="161">
        <f t="shared" si="4"/>
        <v>370</v>
      </c>
      <c r="T27" s="161">
        <f t="shared" si="4"/>
        <v>479</v>
      </c>
      <c r="U27" s="161">
        <f t="shared" si="4"/>
        <v>682</v>
      </c>
      <c r="V27" s="161">
        <f t="shared" si="4"/>
        <v>772</v>
      </c>
      <c r="W27" s="161">
        <f t="shared" si="4"/>
        <v>699</v>
      </c>
      <c r="X27" s="161">
        <f t="shared" si="4"/>
        <v>902</v>
      </c>
      <c r="Y27" s="161">
        <f t="shared" si="4"/>
        <v>1306</v>
      </c>
      <c r="Z27" s="161">
        <f t="shared" si="4"/>
        <v>1009</v>
      </c>
      <c r="AA27" s="161">
        <f t="shared" si="4"/>
        <v>1015</v>
      </c>
      <c r="AB27" s="161">
        <f t="shared" si="4"/>
        <v>1691</v>
      </c>
      <c r="AC27" s="161">
        <f t="shared" si="4"/>
        <v>1695</v>
      </c>
      <c r="AD27" s="161">
        <f t="shared" si="4"/>
        <v>1690</v>
      </c>
      <c r="AE27" s="161">
        <f t="shared" si="4"/>
        <v>1910</v>
      </c>
      <c r="AF27" s="161">
        <f t="shared" si="4"/>
        <v>1159</v>
      </c>
      <c r="AG27" s="161">
        <f t="shared" si="4"/>
        <v>1069</v>
      </c>
      <c r="AH27" s="161">
        <f t="shared" si="4"/>
        <v>1120</v>
      </c>
      <c r="AI27" s="161">
        <f t="shared" si="4"/>
        <v>1185</v>
      </c>
      <c r="AJ27" s="161">
        <f t="shared" si="4"/>
        <v>1239</v>
      </c>
      <c r="AK27" s="161">
        <f t="shared" si="4"/>
        <v>1222</v>
      </c>
      <c r="AL27" s="161">
        <f t="shared" si="4"/>
        <v>966</v>
      </c>
      <c r="AM27" s="161">
        <f t="shared" si="4"/>
        <v>1209</v>
      </c>
      <c r="AN27" s="161">
        <f t="shared" si="4"/>
        <v>1251</v>
      </c>
      <c r="AO27" s="161">
        <f>SUM(AO28:AO30)</f>
        <v>1258</v>
      </c>
      <c r="AP27" s="376">
        <f>SUM(AP28:AP30)</f>
        <v>1307</v>
      </c>
      <c r="AQ27" s="376">
        <f>SUM(AQ28:AQ30)</f>
        <v>1450</v>
      </c>
      <c r="AR27" s="376">
        <f>SUM(AR28:AR30)</f>
        <v>21224.312999999998</v>
      </c>
      <c r="AS27" s="377">
        <f>SUM(AS28:AS30)</f>
        <v>24179</v>
      </c>
    </row>
    <row r="28" spans="1:45" s="164" customFormat="1" ht="15" customHeight="1" x14ac:dyDescent="0.2">
      <c r="A28" s="139" t="s">
        <v>224</v>
      </c>
      <c r="B28" s="165">
        <v>0</v>
      </c>
      <c r="C28" s="165">
        <v>0</v>
      </c>
      <c r="D28" s="165">
        <v>0</v>
      </c>
      <c r="E28" s="165">
        <v>0</v>
      </c>
      <c r="F28" s="165">
        <v>0</v>
      </c>
      <c r="G28" s="165">
        <v>0</v>
      </c>
      <c r="H28" s="170">
        <v>0</v>
      </c>
      <c r="I28" s="170">
        <v>0</v>
      </c>
      <c r="J28" s="166">
        <v>2</v>
      </c>
      <c r="K28" s="166">
        <v>3</v>
      </c>
      <c r="L28" s="166">
        <v>3</v>
      </c>
      <c r="M28" s="166">
        <v>0</v>
      </c>
      <c r="N28" s="166">
        <v>0</v>
      </c>
      <c r="O28" s="166">
        <v>0</v>
      </c>
      <c r="P28" s="166">
        <v>0</v>
      </c>
      <c r="Q28" s="166">
        <v>0</v>
      </c>
      <c r="R28" s="166">
        <v>0</v>
      </c>
      <c r="S28" s="166">
        <v>0</v>
      </c>
      <c r="T28" s="166">
        <v>0</v>
      </c>
      <c r="U28" s="166">
        <v>0</v>
      </c>
      <c r="V28" s="166">
        <v>0</v>
      </c>
      <c r="W28" s="166">
        <v>0</v>
      </c>
      <c r="X28" s="166">
        <v>0</v>
      </c>
      <c r="Y28" s="166">
        <v>0</v>
      </c>
      <c r="Z28" s="166">
        <v>0</v>
      </c>
      <c r="AA28" s="166">
        <v>0</v>
      </c>
      <c r="AB28" s="166">
        <v>0</v>
      </c>
      <c r="AC28" s="166">
        <v>0</v>
      </c>
      <c r="AD28" s="166">
        <v>0</v>
      </c>
      <c r="AE28" s="166">
        <v>0</v>
      </c>
      <c r="AF28" s="166">
        <v>0</v>
      </c>
      <c r="AG28" s="166">
        <v>0</v>
      </c>
      <c r="AH28" s="166">
        <v>0</v>
      </c>
      <c r="AI28" s="166">
        <v>0</v>
      </c>
      <c r="AJ28" s="166">
        <v>0</v>
      </c>
      <c r="AK28" s="166">
        <v>0</v>
      </c>
      <c r="AL28" s="166">
        <v>0</v>
      </c>
      <c r="AM28" s="166">
        <v>0</v>
      </c>
      <c r="AN28" s="166">
        <v>0</v>
      </c>
      <c r="AO28" s="166">
        <v>0</v>
      </c>
      <c r="AP28" s="373">
        <v>0</v>
      </c>
      <c r="AQ28" s="373">
        <v>0</v>
      </c>
      <c r="AR28" s="373">
        <v>0</v>
      </c>
      <c r="AS28" s="374">
        <v>0</v>
      </c>
    </row>
    <row r="29" spans="1:45" s="164" customFormat="1" ht="15" customHeight="1" x14ac:dyDescent="0.2">
      <c r="A29" s="139" t="s">
        <v>665</v>
      </c>
      <c r="B29" s="165">
        <v>0</v>
      </c>
      <c r="C29" s="165">
        <v>0</v>
      </c>
      <c r="D29" s="165">
        <v>0</v>
      </c>
      <c r="E29" s="165">
        <v>0</v>
      </c>
      <c r="F29" s="165">
        <v>0</v>
      </c>
      <c r="G29" s="165">
        <v>0</v>
      </c>
      <c r="H29" s="170">
        <v>0</v>
      </c>
      <c r="I29" s="170">
        <v>0</v>
      </c>
      <c r="J29" s="170">
        <v>0</v>
      </c>
      <c r="K29" s="170">
        <v>0</v>
      </c>
      <c r="L29" s="170">
        <v>0</v>
      </c>
      <c r="M29" s="170">
        <v>0</v>
      </c>
      <c r="N29" s="170">
        <v>0</v>
      </c>
      <c r="O29" s="170">
        <v>0</v>
      </c>
      <c r="P29" s="170">
        <v>0</v>
      </c>
      <c r="Q29" s="170">
        <v>0</v>
      </c>
      <c r="R29" s="170">
        <v>0</v>
      </c>
      <c r="S29" s="170">
        <v>0</v>
      </c>
      <c r="T29" s="170">
        <v>0</v>
      </c>
      <c r="U29" s="170">
        <v>0</v>
      </c>
      <c r="V29" s="170">
        <v>0</v>
      </c>
      <c r="W29" s="170">
        <v>0</v>
      </c>
      <c r="X29" s="170">
        <v>0</v>
      </c>
      <c r="Y29" s="170">
        <v>0</v>
      </c>
      <c r="Z29" s="170">
        <v>0</v>
      </c>
      <c r="AA29" s="170">
        <v>0</v>
      </c>
      <c r="AB29" s="170">
        <v>0</v>
      </c>
      <c r="AC29" s="170">
        <v>0</v>
      </c>
      <c r="AD29" s="170">
        <v>0</v>
      </c>
      <c r="AE29" s="170">
        <v>0</v>
      </c>
      <c r="AF29" s="170">
        <v>0</v>
      </c>
      <c r="AG29" s="170">
        <v>0</v>
      </c>
      <c r="AH29" s="170">
        <v>0</v>
      </c>
      <c r="AI29" s="170">
        <v>0</v>
      </c>
      <c r="AJ29" s="170">
        <v>0</v>
      </c>
      <c r="AK29" s="170">
        <v>77</v>
      </c>
      <c r="AL29" s="170">
        <v>0</v>
      </c>
      <c r="AM29" s="170">
        <v>0</v>
      </c>
      <c r="AN29" s="170">
        <v>0</v>
      </c>
      <c r="AO29" s="170">
        <v>0</v>
      </c>
      <c r="AP29" s="547">
        <v>0</v>
      </c>
      <c r="AQ29" s="547">
        <v>0</v>
      </c>
      <c r="AR29" s="547">
        <v>19885.366999999998</v>
      </c>
      <c r="AS29" s="464">
        <v>22821</v>
      </c>
    </row>
    <row r="30" spans="1:45" s="164" customFormat="1" ht="15" customHeight="1" x14ac:dyDescent="0.2">
      <c r="A30" s="139" t="s">
        <v>225</v>
      </c>
      <c r="B30" s="165">
        <v>182</v>
      </c>
      <c r="C30" s="165">
        <v>164</v>
      </c>
      <c r="D30" s="165">
        <v>195</v>
      </c>
      <c r="E30" s="165">
        <v>17</v>
      </c>
      <c r="F30" s="165">
        <v>313</v>
      </c>
      <c r="G30" s="165">
        <v>400</v>
      </c>
      <c r="H30" s="166">
        <v>231</v>
      </c>
      <c r="I30" s="166">
        <v>13</v>
      </c>
      <c r="J30" s="166">
        <v>122</v>
      </c>
      <c r="K30" s="166">
        <v>192</v>
      </c>
      <c r="L30" s="166">
        <v>216</v>
      </c>
      <c r="M30" s="166">
        <v>23</v>
      </c>
      <c r="N30" s="166">
        <v>204</v>
      </c>
      <c r="O30" s="166">
        <v>272</v>
      </c>
      <c r="P30" s="166">
        <v>274</v>
      </c>
      <c r="Q30" s="166">
        <v>40</v>
      </c>
      <c r="R30" s="166">
        <v>226</v>
      </c>
      <c r="S30" s="166">
        <v>370</v>
      </c>
      <c r="T30" s="166">
        <v>479</v>
      </c>
      <c r="U30" s="166">
        <v>682</v>
      </c>
      <c r="V30" s="166">
        <v>772</v>
      </c>
      <c r="W30" s="166">
        <v>699</v>
      </c>
      <c r="X30" s="166">
        <v>902</v>
      </c>
      <c r="Y30" s="166">
        <v>1306</v>
      </c>
      <c r="Z30" s="166">
        <v>1009</v>
      </c>
      <c r="AA30" s="166">
        <v>1015</v>
      </c>
      <c r="AB30" s="166">
        <v>1691</v>
      </c>
      <c r="AC30" s="166">
        <v>1695</v>
      </c>
      <c r="AD30" s="166">
        <v>1690</v>
      </c>
      <c r="AE30" s="166">
        <v>1910</v>
      </c>
      <c r="AF30" s="166">
        <v>1159</v>
      </c>
      <c r="AG30" s="166">
        <v>1069</v>
      </c>
      <c r="AH30" s="166">
        <v>1120</v>
      </c>
      <c r="AI30" s="166">
        <v>1185</v>
      </c>
      <c r="AJ30" s="166">
        <v>1239</v>
      </c>
      <c r="AK30" s="166">
        <v>1145</v>
      </c>
      <c r="AL30" s="166">
        <v>966</v>
      </c>
      <c r="AM30" s="166">
        <v>1209</v>
      </c>
      <c r="AN30" s="166">
        <v>1251</v>
      </c>
      <c r="AO30" s="166">
        <v>1258</v>
      </c>
      <c r="AP30" s="373">
        <v>1307</v>
      </c>
      <c r="AQ30" s="373">
        <v>1450</v>
      </c>
      <c r="AR30" s="373">
        <v>1338.9459999999999</v>
      </c>
      <c r="AS30" s="374">
        <v>1358</v>
      </c>
    </row>
    <row r="31" spans="1:45" s="164" customFormat="1" ht="15" customHeight="1" x14ac:dyDescent="0.2">
      <c r="A31" s="145" t="s">
        <v>226</v>
      </c>
      <c r="B31" s="161">
        <f t="shared" ref="B31:AN31" si="5">SUM(B32:B32)</f>
        <v>1768</v>
      </c>
      <c r="C31" s="161">
        <f t="shared" si="5"/>
        <v>1762</v>
      </c>
      <c r="D31" s="161">
        <f t="shared" si="5"/>
        <v>1570</v>
      </c>
      <c r="E31" s="161">
        <f t="shared" si="5"/>
        <v>2521</v>
      </c>
      <c r="F31" s="161">
        <f t="shared" si="5"/>
        <v>1847</v>
      </c>
      <c r="G31" s="161">
        <f t="shared" si="5"/>
        <v>2058</v>
      </c>
      <c r="H31" s="161">
        <f t="shared" si="5"/>
        <v>2307</v>
      </c>
      <c r="I31" s="161">
        <f t="shared" si="5"/>
        <v>2901</v>
      </c>
      <c r="J31" s="161">
        <f t="shared" si="5"/>
        <v>2163</v>
      </c>
      <c r="K31" s="161">
        <f t="shared" si="5"/>
        <v>1708</v>
      </c>
      <c r="L31" s="161">
        <f t="shared" si="5"/>
        <v>2038</v>
      </c>
      <c r="M31" s="161">
        <f t="shared" si="5"/>
        <v>2927</v>
      </c>
      <c r="N31" s="161">
        <f t="shared" si="5"/>
        <v>1859</v>
      </c>
      <c r="O31" s="161">
        <f t="shared" si="5"/>
        <v>2505</v>
      </c>
      <c r="P31" s="161">
        <f t="shared" si="5"/>
        <v>2177</v>
      </c>
      <c r="Q31" s="161">
        <f t="shared" si="5"/>
        <v>3750</v>
      </c>
      <c r="R31" s="161">
        <f t="shared" si="5"/>
        <v>2421</v>
      </c>
      <c r="S31" s="161">
        <f t="shared" si="5"/>
        <v>2667</v>
      </c>
      <c r="T31" s="161">
        <f t="shared" si="5"/>
        <v>2495</v>
      </c>
      <c r="U31" s="161">
        <f t="shared" si="5"/>
        <v>3932</v>
      </c>
      <c r="V31" s="161">
        <f t="shared" si="5"/>
        <v>2459</v>
      </c>
      <c r="W31" s="161">
        <f t="shared" si="5"/>
        <v>2919</v>
      </c>
      <c r="X31" s="161">
        <f t="shared" si="5"/>
        <v>2747</v>
      </c>
      <c r="Y31" s="161">
        <f t="shared" si="5"/>
        <v>4361</v>
      </c>
      <c r="Z31" s="161">
        <f t="shared" si="5"/>
        <v>2806</v>
      </c>
      <c r="AA31" s="161">
        <f t="shared" si="5"/>
        <v>2778</v>
      </c>
      <c r="AB31" s="161">
        <f t="shared" si="5"/>
        <v>3115</v>
      </c>
      <c r="AC31" s="161">
        <f t="shared" si="5"/>
        <v>5169</v>
      </c>
      <c r="AD31" s="161">
        <f t="shared" si="5"/>
        <v>3653</v>
      </c>
      <c r="AE31" s="161">
        <f t="shared" si="5"/>
        <v>3763</v>
      </c>
      <c r="AF31" s="161">
        <f t="shared" si="5"/>
        <v>3381</v>
      </c>
      <c r="AG31" s="161">
        <f t="shared" si="5"/>
        <v>4889</v>
      </c>
      <c r="AH31" s="161">
        <f t="shared" si="5"/>
        <v>3127</v>
      </c>
      <c r="AI31" s="161">
        <f t="shared" si="5"/>
        <v>3393</v>
      </c>
      <c r="AJ31" s="161">
        <f t="shared" si="5"/>
        <v>4224</v>
      </c>
      <c r="AK31" s="161">
        <f t="shared" si="5"/>
        <v>5162</v>
      </c>
      <c r="AL31" s="161">
        <f t="shared" si="5"/>
        <v>4215</v>
      </c>
      <c r="AM31" s="161">
        <f t="shared" si="5"/>
        <v>3629</v>
      </c>
      <c r="AN31" s="161">
        <f t="shared" si="5"/>
        <v>4370</v>
      </c>
      <c r="AO31" s="161">
        <f t="shared" ref="AO31:AS31" si="6">SUM(AO32:AO32)</f>
        <v>5831</v>
      </c>
      <c r="AP31" s="376">
        <f t="shared" si="6"/>
        <v>4448</v>
      </c>
      <c r="AQ31" s="376">
        <f t="shared" si="6"/>
        <v>4801</v>
      </c>
      <c r="AR31" s="376">
        <f t="shared" si="6"/>
        <v>4702.4639999999999</v>
      </c>
      <c r="AS31" s="377">
        <f t="shared" si="6"/>
        <v>5855</v>
      </c>
    </row>
    <row r="32" spans="1:45" s="164" customFormat="1" ht="15" customHeight="1" x14ac:dyDescent="0.2">
      <c r="A32" s="172" t="s">
        <v>278</v>
      </c>
      <c r="B32" s="165">
        <v>1768</v>
      </c>
      <c r="C32" s="165">
        <v>1762</v>
      </c>
      <c r="D32" s="165">
        <v>1570</v>
      </c>
      <c r="E32" s="165">
        <v>2521</v>
      </c>
      <c r="F32" s="165">
        <v>1847</v>
      </c>
      <c r="G32" s="165">
        <v>2058</v>
      </c>
      <c r="H32" s="166">
        <v>2307</v>
      </c>
      <c r="I32" s="166">
        <v>2901</v>
      </c>
      <c r="J32" s="166">
        <v>2163</v>
      </c>
      <c r="K32" s="166">
        <v>1708</v>
      </c>
      <c r="L32" s="166">
        <v>2038</v>
      </c>
      <c r="M32" s="166">
        <v>2927</v>
      </c>
      <c r="N32" s="166">
        <v>1859</v>
      </c>
      <c r="O32" s="166">
        <v>2505</v>
      </c>
      <c r="P32" s="166">
        <v>2177</v>
      </c>
      <c r="Q32" s="166">
        <v>3750</v>
      </c>
      <c r="R32" s="166">
        <v>2421</v>
      </c>
      <c r="S32" s="166">
        <v>2667</v>
      </c>
      <c r="T32" s="166">
        <v>2495</v>
      </c>
      <c r="U32" s="166">
        <v>3932</v>
      </c>
      <c r="V32" s="166">
        <v>2459</v>
      </c>
      <c r="W32" s="166">
        <v>2919</v>
      </c>
      <c r="X32" s="166">
        <v>2747</v>
      </c>
      <c r="Y32" s="166">
        <v>4361</v>
      </c>
      <c r="Z32" s="166">
        <v>2806</v>
      </c>
      <c r="AA32" s="166">
        <v>2778</v>
      </c>
      <c r="AB32" s="166">
        <v>3115</v>
      </c>
      <c r="AC32" s="166">
        <v>5169</v>
      </c>
      <c r="AD32" s="166">
        <v>3653</v>
      </c>
      <c r="AE32" s="166">
        <v>3763</v>
      </c>
      <c r="AF32" s="166">
        <v>3381</v>
      </c>
      <c r="AG32" s="166">
        <v>4889</v>
      </c>
      <c r="AH32" s="166">
        <v>3127</v>
      </c>
      <c r="AI32" s="166">
        <v>3393</v>
      </c>
      <c r="AJ32" s="166">
        <v>4224</v>
      </c>
      <c r="AK32" s="166">
        <v>5162</v>
      </c>
      <c r="AL32" s="166">
        <v>4215</v>
      </c>
      <c r="AM32" s="166">
        <v>3629</v>
      </c>
      <c r="AN32" s="166">
        <v>4370</v>
      </c>
      <c r="AO32" s="166">
        <v>5831</v>
      </c>
      <c r="AP32" s="373">
        <v>4448</v>
      </c>
      <c r="AQ32" s="373">
        <v>4801</v>
      </c>
      <c r="AR32" s="373">
        <f>4698.677+3.787</f>
        <v>4702.4639999999999</v>
      </c>
      <c r="AS32" s="374">
        <v>5855</v>
      </c>
    </row>
    <row r="33" spans="1:45" s="164" customFormat="1" ht="15" customHeight="1" x14ac:dyDescent="0.2">
      <c r="A33" s="145" t="s">
        <v>279</v>
      </c>
      <c r="B33" s="161">
        <f t="shared" ref="B33:AN33" si="7">SUM(B34:B36)</f>
        <v>6967</v>
      </c>
      <c r="C33" s="161">
        <f t="shared" si="7"/>
        <v>6545</v>
      </c>
      <c r="D33" s="161">
        <f t="shared" si="7"/>
        <v>7309</v>
      </c>
      <c r="E33" s="161">
        <f t="shared" si="7"/>
        <v>9323</v>
      </c>
      <c r="F33" s="161">
        <f t="shared" si="7"/>
        <v>9356</v>
      </c>
      <c r="G33" s="161">
        <f t="shared" si="7"/>
        <v>9465</v>
      </c>
      <c r="H33" s="161">
        <f t="shared" si="7"/>
        <v>15429</v>
      </c>
      <c r="I33" s="161">
        <f t="shared" si="7"/>
        <v>14204</v>
      </c>
      <c r="J33" s="161">
        <f t="shared" si="7"/>
        <v>12680</v>
      </c>
      <c r="K33" s="161">
        <f t="shared" si="7"/>
        <v>11082</v>
      </c>
      <c r="L33" s="161">
        <f t="shared" si="7"/>
        <v>8227</v>
      </c>
      <c r="M33" s="161">
        <f t="shared" si="7"/>
        <v>8006</v>
      </c>
      <c r="N33" s="161">
        <f t="shared" si="7"/>
        <v>9078</v>
      </c>
      <c r="O33" s="161">
        <f t="shared" si="7"/>
        <v>9881</v>
      </c>
      <c r="P33" s="161">
        <f t="shared" si="7"/>
        <v>9596</v>
      </c>
      <c r="Q33" s="161">
        <f t="shared" si="7"/>
        <v>7995</v>
      </c>
      <c r="R33" s="161">
        <f t="shared" si="7"/>
        <v>9706</v>
      </c>
      <c r="S33" s="161">
        <f t="shared" si="7"/>
        <v>11308</v>
      </c>
      <c r="T33" s="161">
        <f t="shared" si="7"/>
        <v>13292</v>
      </c>
      <c r="U33" s="161">
        <f t="shared" si="7"/>
        <v>17330</v>
      </c>
      <c r="V33" s="161">
        <f t="shared" si="7"/>
        <v>11439</v>
      </c>
      <c r="W33" s="161">
        <f t="shared" si="7"/>
        <v>12506</v>
      </c>
      <c r="X33" s="161">
        <f t="shared" si="7"/>
        <v>10266</v>
      </c>
      <c r="Y33" s="161">
        <f t="shared" si="7"/>
        <v>8170</v>
      </c>
      <c r="Z33" s="161">
        <f t="shared" si="7"/>
        <v>8216</v>
      </c>
      <c r="AA33" s="161">
        <f t="shared" si="7"/>
        <v>11216</v>
      </c>
      <c r="AB33" s="161">
        <f t="shared" si="7"/>
        <v>12147</v>
      </c>
      <c r="AC33" s="161">
        <f t="shared" si="7"/>
        <v>15407</v>
      </c>
      <c r="AD33" s="161">
        <f t="shared" si="7"/>
        <v>15835</v>
      </c>
      <c r="AE33" s="161">
        <f t="shared" si="7"/>
        <v>13935</v>
      </c>
      <c r="AF33" s="161">
        <f t="shared" si="7"/>
        <v>15304</v>
      </c>
      <c r="AG33" s="161">
        <f t="shared" si="7"/>
        <v>16698</v>
      </c>
      <c r="AH33" s="161">
        <f t="shared" si="7"/>
        <v>21432</v>
      </c>
      <c r="AI33" s="161">
        <f t="shared" si="7"/>
        <v>22137</v>
      </c>
      <c r="AJ33" s="161">
        <f t="shared" si="7"/>
        <v>32184</v>
      </c>
      <c r="AK33" s="161">
        <f t="shared" si="7"/>
        <v>32132</v>
      </c>
      <c r="AL33" s="161">
        <f t="shared" si="7"/>
        <v>27157</v>
      </c>
      <c r="AM33" s="161">
        <f t="shared" si="7"/>
        <v>23781</v>
      </c>
      <c r="AN33" s="161">
        <f t="shared" si="7"/>
        <v>25819</v>
      </c>
      <c r="AO33" s="161">
        <f>SUM(AO34:AO36)</f>
        <v>22165</v>
      </c>
      <c r="AP33" s="376">
        <f>SUM(AP34:AP36)</f>
        <v>22089</v>
      </c>
      <c r="AQ33" s="376">
        <f>SUM(AQ34:AQ36)</f>
        <v>23434</v>
      </c>
      <c r="AR33" s="376">
        <f>SUM(AR34:AR36)</f>
        <v>22957.898000000001</v>
      </c>
      <c r="AS33" s="377">
        <f>SUM(AS34:AS36)</f>
        <v>20900</v>
      </c>
    </row>
    <row r="34" spans="1:45" s="164" customFormat="1" ht="15" customHeight="1" x14ac:dyDescent="0.2">
      <c r="A34" s="139" t="s">
        <v>280</v>
      </c>
      <c r="B34" s="165">
        <v>1</v>
      </c>
      <c r="C34" s="165">
        <v>1</v>
      </c>
      <c r="D34" s="165">
        <v>1</v>
      </c>
      <c r="E34" s="165">
        <v>0</v>
      </c>
      <c r="F34" s="165">
        <v>0</v>
      </c>
      <c r="G34" s="165">
        <v>0</v>
      </c>
      <c r="H34" s="166">
        <v>0</v>
      </c>
      <c r="I34" s="166">
        <v>0</v>
      </c>
      <c r="J34" s="166">
        <v>0</v>
      </c>
      <c r="K34" s="166">
        <v>0</v>
      </c>
      <c r="L34" s="166">
        <v>0</v>
      </c>
      <c r="M34" s="166">
        <v>0</v>
      </c>
      <c r="N34" s="166">
        <v>0</v>
      </c>
      <c r="O34" s="166">
        <v>0</v>
      </c>
      <c r="P34" s="166">
        <v>0</v>
      </c>
      <c r="Q34" s="166">
        <v>0</v>
      </c>
      <c r="R34" s="166">
        <v>0</v>
      </c>
      <c r="S34" s="166">
        <v>0</v>
      </c>
      <c r="T34" s="166">
        <v>0</v>
      </c>
      <c r="U34" s="166">
        <v>0</v>
      </c>
      <c r="V34" s="166">
        <v>0</v>
      </c>
      <c r="W34" s="166">
        <v>0</v>
      </c>
      <c r="X34" s="166">
        <v>0</v>
      </c>
      <c r="Y34" s="166">
        <v>0</v>
      </c>
      <c r="Z34" s="166">
        <v>0</v>
      </c>
      <c r="AA34" s="166">
        <v>0</v>
      </c>
      <c r="AB34" s="166">
        <v>0</v>
      </c>
      <c r="AC34" s="166">
        <v>0</v>
      </c>
      <c r="AD34" s="166">
        <v>0</v>
      </c>
      <c r="AE34" s="166">
        <v>0</v>
      </c>
      <c r="AF34" s="166">
        <v>0</v>
      </c>
      <c r="AG34" s="166">
        <v>0</v>
      </c>
      <c r="AH34" s="166">
        <v>0</v>
      </c>
      <c r="AI34" s="166">
        <v>0</v>
      </c>
      <c r="AJ34" s="166">
        <v>0</v>
      </c>
      <c r="AK34" s="166">
        <v>0</v>
      </c>
      <c r="AL34" s="166">
        <v>0</v>
      </c>
      <c r="AM34" s="166">
        <v>0</v>
      </c>
      <c r="AN34" s="166">
        <v>4</v>
      </c>
      <c r="AO34" s="166">
        <v>0</v>
      </c>
      <c r="AP34" s="373">
        <v>0</v>
      </c>
      <c r="AQ34" s="373">
        <v>0</v>
      </c>
      <c r="AR34" s="373">
        <v>0</v>
      </c>
      <c r="AS34" s="374">
        <v>0</v>
      </c>
    </row>
    <row r="35" spans="1:45" s="164" customFormat="1" ht="15" customHeight="1" x14ac:dyDescent="0.2">
      <c r="A35" s="139" t="s">
        <v>281</v>
      </c>
      <c r="B35" s="165">
        <v>0</v>
      </c>
      <c r="C35" s="165">
        <v>0</v>
      </c>
      <c r="D35" s="165">
        <v>0</v>
      </c>
      <c r="E35" s="165">
        <v>0</v>
      </c>
      <c r="F35" s="165">
        <v>0</v>
      </c>
      <c r="G35" s="165">
        <v>1</v>
      </c>
      <c r="H35" s="166">
        <v>1</v>
      </c>
      <c r="I35" s="166">
        <v>0</v>
      </c>
      <c r="J35" s="166">
        <v>0</v>
      </c>
      <c r="K35" s="166">
        <v>1</v>
      </c>
      <c r="L35" s="166">
        <v>9</v>
      </c>
      <c r="M35" s="166">
        <v>1</v>
      </c>
      <c r="N35" s="166">
        <v>1</v>
      </c>
      <c r="O35" s="166">
        <v>0</v>
      </c>
      <c r="P35" s="166">
        <v>0</v>
      </c>
      <c r="Q35" s="166">
        <v>0</v>
      </c>
      <c r="R35" s="166">
        <v>0</v>
      </c>
      <c r="S35" s="166">
        <v>0</v>
      </c>
      <c r="T35" s="166">
        <v>0</v>
      </c>
      <c r="U35" s="166">
        <v>0</v>
      </c>
      <c r="V35" s="166">
        <v>0</v>
      </c>
      <c r="W35" s="166">
        <v>8</v>
      </c>
      <c r="X35" s="166">
        <v>10</v>
      </c>
      <c r="Y35" s="166">
        <v>11</v>
      </c>
      <c r="Z35" s="166">
        <v>10</v>
      </c>
      <c r="AA35" s="166">
        <v>11</v>
      </c>
      <c r="AB35" s="166">
        <v>12</v>
      </c>
      <c r="AC35" s="166">
        <v>14</v>
      </c>
      <c r="AD35" s="166">
        <v>14</v>
      </c>
      <c r="AE35" s="166">
        <v>20</v>
      </c>
      <c r="AF35" s="166">
        <v>20</v>
      </c>
      <c r="AG35" s="166">
        <v>20</v>
      </c>
      <c r="AH35" s="166">
        <v>23</v>
      </c>
      <c r="AI35" s="166">
        <v>21</v>
      </c>
      <c r="AJ35" s="166">
        <v>18</v>
      </c>
      <c r="AK35" s="166">
        <v>16</v>
      </c>
      <c r="AL35" s="166">
        <v>18</v>
      </c>
      <c r="AM35" s="166">
        <v>20</v>
      </c>
      <c r="AN35" s="166">
        <v>30</v>
      </c>
      <c r="AO35" s="166">
        <v>7</v>
      </c>
      <c r="AP35" s="373">
        <f>4+8</f>
        <v>12</v>
      </c>
      <c r="AQ35" s="373">
        <v>5</v>
      </c>
      <c r="AR35" s="373">
        <f>1601.009+1.846</f>
        <v>1602.855</v>
      </c>
      <c r="AS35" s="374">
        <v>1598</v>
      </c>
    </row>
    <row r="36" spans="1:45" s="164" customFormat="1" ht="15" customHeight="1" x14ac:dyDescent="0.2">
      <c r="A36" s="139" t="s">
        <v>282</v>
      </c>
      <c r="B36" s="165">
        <v>6966</v>
      </c>
      <c r="C36" s="165">
        <v>6544</v>
      </c>
      <c r="D36" s="165">
        <v>7308</v>
      </c>
      <c r="E36" s="165">
        <v>9323</v>
      </c>
      <c r="F36" s="165">
        <v>9356</v>
      </c>
      <c r="G36" s="165">
        <v>9464</v>
      </c>
      <c r="H36" s="166">
        <v>15428</v>
      </c>
      <c r="I36" s="166">
        <v>14204</v>
      </c>
      <c r="J36" s="166">
        <v>12680</v>
      </c>
      <c r="K36" s="166">
        <v>11081</v>
      </c>
      <c r="L36" s="166">
        <v>8218</v>
      </c>
      <c r="M36" s="166">
        <v>8005</v>
      </c>
      <c r="N36" s="166">
        <v>9077</v>
      </c>
      <c r="O36" s="166">
        <v>9881</v>
      </c>
      <c r="P36" s="166">
        <v>9596</v>
      </c>
      <c r="Q36" s="166">
        <v>7995</v>
      </c>
      <c r="R36" s="166">
        <v>9706</v>
      </c>
      <c r="S36" s="166">
        <v>11308</v>
      </c>
      <c r="T36" s="166">
        <v>13292</v>
      </c>
      <c r="U36" s="166">
        <v>17330</v>
      </c>
      <c r="V36" s="166">
        <v>11439</v>
      </c>
      <c r="W36" s="166">
        <v>12498</v>
      </c>
      <c r="X36" s="166">
        <v>10256</v>
      </c>
      <c r="Y36" s="166">
        <v>8159</v>
      </c>
      <c r="Z36" s="166">
        <v>8206</v>
      </c>
      <c r="AA36" s="166">
        <v>11205</v>
      </c>
      <c r="AB36" s="166">
        <v>12135</v>
      </c>
      <c r="AC36" s="166">
        <v>15393</v>
      </c>
      <c r="AD36" s="166">
        <v>15821</v>
      </c>
      <c r="AE36" s="166">
        <v>13915</v>
      </c>
      <c r="AF36" s="166">
        <v>15284</v>
      </c>
      <c r="AG36" s="166">
        <v>16678</v>
      </c>
      <c r="AH36" s="166">
        <v>21409</v>
      </c>
      <c r="AI36" s="166">
        <v>22116</v>
      </c>
      <c r="AJ36" s="166">
        <v>32166</v>
      </c>
      <c r="AK36" s="166">
        <v>32116</v>
      </c>
      <c r="AL36" s="166">
        <v>27139</v>
      </c>
      <c r="AM36" s="166">
        <v>23761</v>
      </c>
      <c r="AN36" s="166">
        <v>25785</v>
      </c>
      <c r="AO36" s="166">
        <v>22158</v>
      </c>
      <c r="AP36" s="373">
        <f>19329+2748</f>
        <v>22077</v>
      </c>
      <c r="AQ36" s="373">
        <v>23429</v>
      </c>
      <c r="AR36" s="373">
        <f>20086.199+1268.844</f>
        <v>21355.043000000001</v>
      </c>
      <c r="AS36" s="374">
        <v>19302</v>
      </c>
    </row>
    <row r="37" spans="1:45" s="164" customFormat="1" ht="15" customHeight="1" x14ac:dyDescent="0.2">
      <c r="A37" s="145" t="s">
        <v>283</v>
      </c>
      <c r="B37" s="161">
        <f t="shared" ref="B37:AN37" si="8">SUM(B38:B42)</f>
        <v>11667</v>
      </c>
      <c r="C37" s="161">
        <f t="shared" si="8"/>
        <v>12620</v>
      </c>
      <c r="D37" s="161">
        <f t="shared" si="8"/>
        <v>13426</v>
      </c>
      <c r="E37" s="161">
        <f t="shared" si="8"/>
        <v>14087</v>
      </c>
      <c r="F37" s="161">
        <f t="shared" si="8"/>
        <v>14657</v>
      </c>
      <c r="G37" s="161">
        <f t="shared" si="8"/>
        <v>15271</v>
      </c>
      <c r="H37" s="161">
        <f t="shared" si="8"/>
        <v>16550</v>
      </c>
      <c r="I37" s="161">
        <f t="shared" si="8"/>
        <v>17743</v>
      </c>
      <c r="J37" s="161">
        <f t="shared" si="8"/>
        <v>17740</v>
      </c>
      <c r="K37" s="161">
        <f t="shared" si="8"/>
        <v>18001</v>
      </c>
      <c r="L37" s="161">
        <f t="shared" si="8"/>
        <v>18798</v>
      </c>
      <c r="M37" s="161">
        <f t="shared" si="8"/>
        <v>19322</v>
      </c>
      <c r="N37" s="161">
        <f t="shared" si="8"/>
        <v>21130</v>
      </c>
      <c r="O37" s="161">
        <f t="shared" si="8"/>
        <v>25152</v>
      </c>
      <c r="P37" s="161">
        <f t="shared" si="8"/>
        <v>28401</v>
      </c>
      <c r="Q37" s="161">
        <f t="shared" si="8"/>
        <v>30201</v>
      </c>
      <c r="R37" s="161">
        <f t="shared" si="8"/>
        <v>31795</v>
      </c>
      <c r="S37" s="161">
        <f t="shared" si="8"/>
        <v>33899</v>
      </c>
      <c r="T37" s="161">
        <f t="shared" si="8"/>
        <v>35753</v>
      </c>
      <c r="U37" s="161">
        <f t="shared" si="8"/>
        <v>35905</v>
      </c>
      <c r="V37" s="161">
        <f t="shared" si="8"/>
        <v>35662</v>
      </c>
      <c r="W37" s="161">
        <f t="shared" si="8"/>
        <v>35378</v>
      </c>
      <c r="X37" s="161">
        <f t="shared" si="8"/>
        <v>35123</v>
      </c>
      <c r="Y37" s="161">
        <f t="shared" si="8"/>
        <v>36007</v>
      </c>
      <c r="Z37" s="161">
        <f t="shared" si="8"/>
        <v>37985</v>
      </c>
      <c r="AA37" s="161">
        <f t="shared" si="8"/>
        <v>37896</v>
      </c>
      <c r="AB37" s="161">
        <f t="shared" si="8"/>
        <v>39153</v>
      </c>
      <c r="AC37" s="161">
        <f t="shared" si="8"/>
        <v>40681</v>
      </c>
      <c r="AD37" s="161">
        <f t="shared" si="8"/>
        <v>40883</v>
      </c>
      <c r="AE37" s="161">
        <f t="shared" si="8"/>
        <v>40201</v>
      </c>
      <c r="AF37" s="161">
        <f t="shared" si="8"/>
        <v>41252</v>
      </c>
      <c r="AG37" s="161">
        <f t="shared" si="8"/>
        <v>42295</v>
      </c>
      <c r="AH37" s="161">
        <f t="shared" si="8"/>
        <v>40933</v>
      </c>
      <c r="AI37" s="161">
        <f t="shared" si="8"/>
        <v>39228</v>
      </c>
      <c r="AJ37" s="161">
        <f t="shared" si="8"/>
        <v>37468</v>
      </c>
      <c r="AK37" s="161">
        <f t="shared" si="8"/>
        <v>38202</v>
      </c>
      <c r="AL37" s="161">
        <f t="shared" si="8"/>
        <v>35691</v>
      </c>
      <c r="AM37" s="161">
        <f t="shared" si="8"/>
        <v>33750</v>
      </c>
      <c r="AN37" s="161">
        <f t="shared" si="8"/>
        <v>36986</v>
      </c>
      <c r="AO37" s="161">
        <f>SUM(AO38:AO42)</f>
        <v>36032</v>
      </c>
      <c r="AP37" s="376">
        <f>SUM(AP38:AP42)</f>
        <v>34328</v>
      </c>
      <c r="AQ37" s="376">
        <f>SUM(AQ38:AQ42)</f>
        <v>33114</v>
      </c>
      <c r="AR37" s="376">
        <f>SUM(AR38:AR42)</f>
        <v>31465.362000000001</v>
      </c>
      <c r="AS37" s="377">
        <f>SUM(AS38:AS42)</f>
        <v>30769.539000000001</v>
      </c>
    </row>
    <row r="38" spans="1:45" s="164" customFormat="1" ht="15" customHeight="1" x14ac:dyDescent="0.2">
      <c r="A38" s="139" t="s">
        <v>284</v>
      </c>
      <c r="B38" s="165">
        <v>80</v>
      </c>
      <c r="C38" s="165">
        <v>34</v>
      </c>
      <c r="D38" s="165">
        <v>38</v>
      </c>
      <c r="E38" s="165">
        <v>51</v>
      </c>
      <c r="F38" s="165">
        <v>40</v>
      </c>
      <c r="G38" s="165">
        <v>30</v>
      </c>
      <c r="H38" s="166">
        <v>87</v>
      </c>
      <c r="I38" s="166">
        <v>115</v>
      </c>
      <c r="J38" s="166">
        <v>104</v>
      </c>
      <c r="K38" s="166">
        <v>112</v>
      </c>
      <c r="L38" s="166">
        <v>143</v>
      </c>
      <c r="M38" s="166">
        <v>124</v>
      </c>
      <c r="N38" s="166">
        <v>62</v>
      </c>
      <c r="O38" s="166">
        <v>19</v>
      </c>
      <c r="P38" s="166">
        <v>24</v>
      </c>
      <c r="Q38" s="166">
        <v>37</v>
      </c>
      <c r="R38" s="166">
        <v>35</v>
      </c>
      <c r="S38" s="166">
        <v>17</v>
      </c>
      <c r="T38" s="166">
        <v>67</v>
      </c>
      <c r="U38" s="166">
        <v>56</v>
      </c>
      <c r="V38" s="166">
        <v>39</v>
      </c>
      <c r="W38" s="166">
        <v>117</v>
      </c>
      <c r="X38" s="166">
        <v>117</v>
      </c>
      <c r="Y38" s="166">
        <v>103</v>
      </c>
      <c r="Z38" s="166">
        <v>32</v>
      </c>
      <c r="AA38" s="166">
        <v>17</v>
      </c>
      <c r="AB38" s="166">
        <v>37</v>
      </c>
      <c r="AC38" s="166">
        <v>24</v>
      </c>
      <c r="AD38" s="166">
        <v>2</v>
      </c>
      <c r="AE38" s="166">
        <v>1</v>
      </c>
      <c r="AF38" s="166">
        <v>128</v>
      </c>
      <c r="AG38" s="166">
        <v>151</v>
      </c>
      <c r="AH38" s="166">
        <v>52</v>
      </c>
      <c r="AI38" s="166">
        <v>31</v>
      </c>
      <c r="AJ38" s="166">
        <v>145</v>
      </c>
      <c r="AK38" s="166">
        <v>133</v>
      </c>
      <c r="AL38" s="166">
        <v>81</v>
      </c>
      <c r="AM38" s="166">
        <v>44</v>
      </c>
      <c r="AN38" s="166">
        <v>225</v>
      </c>
      <c r="AO38" s="166">
        <v>167</v>
      </c>
      <c r="AP38" s="373">
        <v>118</v>
      </c>
      <c r="AQ38" s="373">
        <v>64</v>
      </c>
      <c r="AR38" s="373">
        <v>151.33500000000001</v>
      </c>
      <c r="AS38" s="374">
        <v>97</v>
      </c>
    </row>
    <row r="39" spans="1:45" s="164" customFormat="1" ht="15" customHeight="1" x14ac:dyDescent="0.2">
      <c r="A39" s="139" t="s">
        <v>285</v>
      </c>
      <c r="B39" s="165">
        <v>5323</v>
      </c>
      <c r="C39" s="165">
        <v>6018</v>
      </c>
      <c r="D39" s="165">
        <v>6128</v>
      </c>
      <c r="E39" s="165">
        <v>6148</v>
      </c>
      <c r="F39" s="165">
        <v>6139</v>
      </c>
      <c r="G39" s="165">
        <v>6137</v>
      </c>
      <c r="H39" s="166">
        <v>6600</v>
      </c>
      <c r="I39" s="166">
        <v>7141</v>
      </c>
      <c r="J39" s="166">
        <v>6995</v>
      </c>
      <c r="K39" s="166">
        <v>7151</v>
      </c>
      <c r="L39" s="166">
        <v>8296</v>
      </c>
      <c r="M39" s="166">
        <v>8139</v>
      </c>
      <c r="N39" s="166">
        <v>8336</v>
      </c>
      <c r="O39" s="166">
        <v>9883</v>
      </c>
      <c r="P39" s="166">
        <v>11484</v>
      </c>
      <c r="Q39" s="166">
        <v>11759</v>
      </c>
      <c r="R39" s="166">
        <v>11977</v>
      </c>
      <c r="S39" s="166">
        <v>12910</v>
      </c>
      <c r="T39" s="166">
        <v>13479</v>
      </c>
      <c r="U39" s="166">
        <v>13058</v>
      </c>
      <c r="V39" s="166">
        <v>12894</v>
      </c>
      <c r="W39" s="166">
        <v>12684</v>
      </c>
      <c r="X39" s="166">
        <v>12219</v>
      </c>
      <c r="Y39" s="166">
        <v>12458</v>
      </c>
      <c r="Z39" s="166">
        <v>13126</v>
      </c>
      <c r="AA39" s="166">
        <v>11861</v>
      </c>
      <c r="AB39" s="166">
        <v>12040</v>
      </c>
      <c r="AC39" s="166">
        <v>12332</v>
      </c>
      <c r="AD39" s="166">
        <v>11719</v>
      </c>
      <c r="AE39" s="166">
        <v>11386</v>
      </c>
      <c r="AF39" s="166">
        <v>12128</v>
      </c>
      <c r="AG39" s="166">
        <v>12273</v>
      </c>
      <c r="AH39" s="166">
        <v>12008</v>
      </c>
      <c r="AI39" s="166">
        <v>11499</v>
      </c>
      <c r="AJ39" s="166">
        <v>10800</v>
      </c>
      <c r="AK39" s="166">
        <v>12409</v>
      </c>
      <c r="AL39" s="166">
        <v>11359</v>
      </c>
      <c r="AM39" s="166">
        <v>11181</v>
      </c>
      <c r="AN39" s="166">
        <v>13871</v>
      </c>
      <c r="AO39" s="166">
        <v>14715</v>
      </c>
      <c r="AP39" s="373">
        <f>3778+10496</f>
        <v>14274</v>
      </c>
      <c r="AQ39" s="373">
        <v>14423</v>
      </c>
      <c r="AR39" s="373">
        <f>4958.515+8689.342</f>
        <v>13647.857</v>
      </c>
      <c r="AS39" s="374">
        <v>13793</v>
      </c>
    </row>
    <row r="40" spans="1:45" s="164" customFormat="1" ht="15" customHeight="1" x14ac:dyDescent="0.2">
      <c r="A40" s="139" t="s">
        <v>286</v>
      </c>
      <c r="B40" s="165">
        <v>73</v>
      </c>
      <c r="C40" s="165">
        <v>84</v>
      </c>
      <c r="D40" s="165">
        <v>95</v>
      </c>
      <c r="E40" s="165">
        <v>101</v>
      </c>
      <c r="F40" s="165">
        <v>103</v>
      </c>
      <c r="G40" s="165">
        <v>103</v>
      </c>
      <c r="H40" s="166">
        <v>101</v>
      </c>
      <c r="I40" s="166">
        <v>99</v>
      </c>
      <c r="J40" s="166">
        <v>96</v>
      </c>
      <c r="K40" s="166">
        <v>94</v>
      </c>
      <c r="L40" s="166">
        <v>91</v>
      </c>
      <c r="M40" s="166">
        <v>91</v>
      </c>
      <c r="N40" s="166">
        <v>89</v>
      </c>
      <c r="O40" s="166">
        <v>87</v>
      </c>
      <c r="P40" s="166">
        <v>87</v>
      </c>
      <c r="Q40" s="166">
        <v>86</v>
      </c>
      <c r="R40" s="166">
        <v>87</v>
      </c>
      <c r="S40" s="166">
        <v>73</v>
      </c>
      <c r="T40" s="166">
        <v>71</v>
      </c>
      <c r="U40" s="166">
        <v>69</v>
      </c>
      <c r="V40" s="166">
        <v>66</v>
      </c>
      <c r="W40" s="166">
        <v>64</v>
      </c>
      <c r="X40" s="166">
        <v>61</v>
      </c>
      <c r="Y40" s="166">
        <v>57</v>
      </c>
      <c r="Z40" s="166">
        <v>53</v>
      </c>
      <c r="AA40" s="166">
        <v>49</v>
      </c>
      <c r="AB40" s="166">
        <v>44</v>
      </c>
      <c r="AC40" s="166">
        <v>40</v>
      </c>
      <c r="AD40" s="166">
        <v>35</v>
      </c>
      <c r="AE40" s="166">
        <v>30</v>
      </c>
      <c r="AF40" s="166">
        <v>25</v>
      </c>
      <c r="AG40" s="166">
        <v>20</v>
      </c>
      <c r="AH40" s="166">
        <v>16</v>
      </c>
      <c r="AI40" s="166">
        <v>14</v>
      </c>
      <c r="AJ40" s="166">
        <v>0</v>
      </c>
      <c r="AK40" s="166">
        <v>0</v>
      </c>
      <c r="AL40" s="166">
        <v>0</v>
      </c>
      <c r="AM40" s="166">
        <v>0</v>
      </c>
      <c r="AN40" s="166">
        <v>0</v>
      </c>
      <c r="AO40" s="166">
        <v>0</v>
      </c>
      <c r="AP40" s="373">
        <v>0</v>
      </c>
      <c r="AQ40" s="373">
        <v>0</v>
      </c>
      <c r="AR40" s="373">
        <v>0</v>
      </c>
      <c r="AS40" s="374">
        <v>0</v>
      </c>
    </row>
    <row r="41" spans="1:45" s="164" customFormat="1" ht="15" customHeight="1" x14ac:dyDescent="0.2">
      <c r="A41" s="139" t="s">
        <v>287</v>
      </c>
      <c r="B41" s="165">
        <v>6189</v>
      </c>
      <c r="C41" s="165">
        <v>6482</v>
      </c>
      <c r="D41" s="165">
        <v>7163</v>
      </c>
      <c r="E41" s="165">
        <v>7786</v>
      </c>
      <c r="F41" s="165">
        <v>8374</v>
      </c>
      <c r="G41" s="165">
        <v>9000</v>
      </c>
      <c r="H41" s="166">
        <v>9761</v>
      </c>
      <c r="I41" s="166">
        <v>10387</v>
      </c>
      <c r="J41" s="166">
        <v>10544</v>
      </c>
      <c r="K41" s="166">
        <v>10643</v>
      </c>
      <c r="L41" s="166">
        <v>10267</v>
      </c>
      <c r="M41" s="166">
        <v>10967</v>
      </c>
      <c r="N41" s="166">
        <v>12642</v>
      </c>
      <c r="O41" s="166">
        <v>15162</v>
      </c>
      <c r="P41" s="166">
        <v>16805</v>
      </c>
      <c r="Q41" s="166">
        <v>18318</v>
      </c>
      <c r="R41" s="166">
        <v>19695</v>
      </c>
      <c r="S41" s="166">
        <v>20898</v>
      </c>
      <c r="T41" s="166">
        <v>22135</v>
      </c>
      <c r="U41" s="166">
        <v>22720</v>
      </c>
      <c r="V41" s="166">
        <v>22661</v>
      </c>
      <c r="W41" s="166">
        <v>22511</v>
      </c>
      <c r="X41" s="166">
        <v>22724</v>
      </c>
      <c r="Y41" s="166">
        <v>23387</v>
      </c>
      <c r="Z41" s="166">
        <v>24772</v>
      </c>
      <c r="AA41" s="166">
        <v>25967</v>
      </c>
      <c r="AB41" s="166">
        <v>27030</v>
      </c>
      <c r="AC41" s="166">
        <v>28283</v>
      </c>
      <c r="AD41" s="166">
        <v>29125</v>
      </c>
      <c r="AE41" s="166">
        <v>28782</v>
      </c>
      <c r="AF41" s="166">
        <v>28969</v>
      </c>
      <c r="AG41" s="166">
        <v>29849</v>
      </c>
      <c r="AH41" s="166">
        <v>28855</v>
      </c>
      <c r="AI41" s="166">
        <v>27682</v>
      </c>
      <c r="AJ41" s="166">
        <v>26510</v>
      </c>
      <c r="AK41" s="166">
        <v>25650</v>
      </c>
      <c r="AL41" s="166">
        <v>24244</v>
      </c>
      <c r="AM41" s="166">
        <v>22522</v>
      </c>
      <c r="AN41" s="166">
        <v>22888</v>
      </c>
      <c r="AO41" s="166">
        <v>21148</v>
      </c>
      <c r="AP41" s="373">
        <f>6944+12990</f>
        <v>19934</v>
      </c>
      <c r="AQ41" s="373">
        <v>18625</v>
      </c>
      <c r="AR41" s="373">
        <f>6208.924+11455.707</f>
        <v>17664.631000000001</v>
      </c>
      <c r="AS41" s="374">
        <v>16878</v>
      </c>
    </row>
    <row r="42" spans="1:45" s="164" customFormat="1" ht="15" customHeight="1" x14ac:dyDescent="0.2">
      <c r="A42" s="139" t="s">
        <v>288</v>
      </c>
      <c r="B42" s="165">
        <v>2</v>
      </c>
      <c r="C42" s="165">
        <v>2</v>
      </c>
      <c r="D42" s="165">
        <v>2</v>
      </c>
      <c r="E42" s="165">
        <v>1</v>
      </c>
      <c r="F42" s="165">
        <v>1</v>
      </c>
      <c r="G42" s="165">
        <v>1</v>
      </c>
      <c r="H42" s="166">
        <v>1</v>
      </c>
      <c r="I42" s="166">
        <v>1</v>
      </c>
      <c r="J42" s="166">
        <v>1</v>
      </c>
      <c r="K42" s="166">
        <v>1</v>
      </c>
      <c r="L42" s="166">
        <v>1</v>
      </c>
      <c r="M42" s="166">
        <v>1</v>
      </c>
      <c r="N42" s="166">
        <v>1</v>
      </c>
      <c r="O42" s="166">
        <v>1</v>
      </c>
      <c r="P42" s="166">
        <v>1</v>
      </c>
      <c r="Q42" s="166">
        <v>1</v>
      </c>
      <c r="R42" s="166">
        <v>1</v>
      </c>
      <c r="S42" s="166">
        <v>1</v>
      </c>
      <c r="T42" s="166">
        <v>1</v>
      </c>
      <c r="U42" s="166">
        <v>2</v>
      </c>
      <c r="V42" s="166">
        <v>2</v>
      </c>
      <c r="W42" s="166">
        <v>2</v>
      </c>
      <c r="X42" s="166">
        <v>2</v>
      </c>
      <c r="Y42" s="166">
        <v>2</v>
      </c>
      <c r="Z42" s="166">
        <v>2</v>
      </c>
      <c r="AA42" s="166">
        <v>2</v>
      </c>
      <c r="AB42" s="166">
        <v>2</v>
      </c>
      <c r="AC42" s="166">
        <v>2</v>
      </c>
      <c r="AD42" s="166">
        <v>2</v>
      </c>
      <c r="AE42" s="166">
        <v>2</v>
      </c>
      <c r="AF42" s="166">
        <v>2</v>
      </c>
      <c r="AG42" s="166">
        <v>2</v>
      </c>
      <c r="AH42" s="166">
        <v>2</v>
      </c>
      <c r="AI42" s="166">
        <v>2</v>
      </c>
      <c r="AJ42" s="166">
        <v>13</v>
      </c>
      <c r="AK42" s="166">
        <v>10</v>
      </c>
      <c r="AL42" s="166">
        <v>7</v>
      </c>
      <c r="AM42" s="166">
        <v>3</v>
      </c>
      <c r="AN42" s="166">
        <v>2</v>
      </c>
      <c r="AO42" s="166">
        <v>2</v>
      </c>
      <c r="AP42" s="373">
        <v>2</v>
      </c>
      <c r="AQ42" s="373">
        <v>2</v>
      </c>
      <c r="AR42" s="373">
        <v>1.5389999999999999</v>
      </c>
      <c r="AS42" s="374">
        <v>1.5389999999999999</v>
      </c>
    </row>
    <row r="43" spans="1:45" s="164" customFormat="1" ht="15" customHeight="1" x14ac:dyDescent="0.2">
      <c r="A43" s="173" t="s">
        <v>289</v>
      </c>
      <c r="B43" s="160">
        <v>0</v>
      </c>
      <c r="C43" s="160">
        <v>0</v>
      </c>
      <c r="D43" s="160">
        <v>0</v>
      </c>
      <c r="E43" s="160">
        <v>0</v>
      </c>
      <c r="F43" s="160">
        <v>0</v>
      </c>
      <c r="G43" s="160">
        <v>0</v>
      </c>
      <c r="H43" s="161">
        <v>0</v>
      </c>
      <c r="I43" s="161">
        <v>0</v>
      </c>
      <c r="J43" s="161">
        <v>0</v>
      </c>
      <c r="K43" s="161">
        <v>0</v>
      </c>
      <c r="L43" s="161">
        <v>0</v>
      </c>
      <c r="M43" s="161">
        <v>0</v>
      </c>
      <c r="N43" s="161">
        <v>0</v>
      </c>
      <c r="O43" s="161">
        <v>0</v>
      </c>
      <c r="P43" s="161">
        <v>0</v>
      </c>
      <c r="Q43" s="161">
        <v>0</v>
      </c>
      <c r="R43" s="161">
        <v>0</v>
      </c>
      <c r="S43" s="161">
        <v>0</v>
      </c>
      <c r="T43" s="161">
        <v>12</v>
      </c>
      <c r="U43" s="161">
        <v>12</v>
      </c>
      <c r="V43" s="161">
        <v>11</v>
      </c>
      <c r="W43" s="161">
        <v>11</v>
      </c>
      <c r="X43" s="161">
        <v>10</v>
      </c>
      <c r="Y43" s="161">
        <v>10</v>
      </c>
      <c r="Z43" s="161">
        <v>8</v>
      </c>
      <c r="AA43" s="161">
        <v>9</v>
      </c>
      <c r="AB43" s="161">
        <v>7</v>
      </c>
      <c r="AC43" s="161">
        <v>7</v>
      </c>
      <c r="AD43" s="161">
        <v>6</v>
      </c>
      <c r="AE43" s="161">
        <v>6</v>
      </c>
      <c r="AF43" s="161">
        <v>5</v>
      </c>
      <c r="AG43" s="161">
        <v>5</v>
      </c>
      <c r="AH43" s="161">
        <v>4</v>
      </c>
      <c r="AI43" s="161">
        <v>4</v>
      </c>
      <c r="AJ43" s="161">
        <v>2</v>
      </c>
      <c r="AK43" s="161">
        <v>3</v>
      </c>
      <c r="AL43" s="161">
        <v>1</v>
      </c>
      <c r="AM43" s="161">
        <v>1</v>
      </c>
      <c r="AN43" s="161">
        <v>0</v>
      </c>
      <c r="AO43" s="161">
        <f t="shared" ref="AO43:AS43" si="9">SUM(AO44)</f>
        <v>0</v>
      </c>
      <c r="AP43" s="376">
        <f t="shared" si="9"/>
        <v>0</v>
      </c>
      <c r="AQ43" s="376">
        <f t="shared" si="9"/>
        <v>0</v>
      </c>
      <c r="AR43" s="376">
        <f t="shared" si="9"/>
        <v>0</v>
      </c>
      <c r="AS43" s="377">
        <f t="shared" si="9"/>
        <v>0</v>
      </c>
    </row>
    <row r="44" spans="1:45" s="164" customFormat="1" ht="15" customHeight="1" x14ac:dyDescent="0.2">
      <c r="A44" s="139" t="s">
        <v>290</v>
      </c>
      <c r="B44" s="165">
        <v>0</v>
      </c>
      <c r="C44" s="165">
        <v>0</v>
      </c>
      <c r="D44" s="165">
        <v>0</v>
      </c>
      <c r="E44" s="165">
        <v>0</v>
      </c>
      <c r="F44" s="165">
        <v>0</v>
      </c>
      <c r="G44" s="165">
        <v>0</v>
      </c>
      <c r="H44" s="166">
        <v>0</v>
      </c>
      <c r="I44" s="166">
        <v>0</v>
      </c>
      <c r="J44" s="166">
        <v>0</v>
      </c>
      <c r="K44" s="166">
        <v>0</v>
      </c>
      <c r="L44" s="166">
        <v>0</v>
      </c>
      <c r="M44" s="166">
        <v>0</v>
      </c>
      <c r="N44" s="166">
        <v>0</v>
      </c>
      <c r="O44" s="166">
        <v>0</v>
      </c>
      <c r="P44" s="166">
        <v>0</v>
      </c>
      <c r="Q44" s="166">
        <v>0</v>
      </c>
      <c r="R44" s="166">
        <v>0</v>
      </c>
      <c r="S44" s="166">
        <v>0</v>
      </c>
      <c r="T44" s="166">
        <v>12</v>
      </c>
      <c r="U44" s="166">
        <v>12</v>
      </c>
      <c r="V44" s="166">
        <v>11</v>
      </c>
      <c r="W44" s="166">
        <v>11</v>
      </c>
      <c r="X44" s="166">
        <v>10</v>
      </c>
      <c r="Y44" s="166">
        <v>10</v>
      </c>
      <c r="Z44" s="166">
        <v>8</v>
      </c>
      <c r="AA44" s="166">
        <v>9</v>
      </c>
      <c r="AB44" s="166">
        <v>7</v>
      </c>
      <c r="AC44" s="166">
        <v>7</v>
      </c>
      <c r="AD44" s="166">
        <v>6</v>
      </c>
      <c r="AE44" s="166">
        <v>6</v>
      </c>
      <c r="AF44" s="166">
        <v>5</v>
      </c>
      <c r="AG44" s="166">
        <v>5</v>
      </c>
      <c r="AH44" s="166">
        <v>4</v>
      </c>
      <c r="AI44" s="166">
        <v>4</v>
      </c>
      <c r="AJ44" s="166">
        <v>2</v>
      </c>
      <c r="AK44" s="166">
        <v>3</v>
      </c>
      <c r="AL44" s="166">
        <v>1</v>
      </c>
      <c r="AM44" s="166">
        <v>1</v>
      </c>
      <c r="AN44" s="166">
        <v>0</v>
      </c>
      <c r="AO44" s="166">
        <v>0</v>
      </c>
      <c r="AP44" s="373">
        <v>0</v>
      </c>
      <c r="AQ44" s="373">
        <v>0</v>
      </c>
      <c r="AR44" s="373">
        <v>0</v>
      </c>
      <c r="AS44" s="374">
        <v>0</v>
      </c>
    </row>
    <row r="45" spans="1:45" s="164" customFormat="1" ht="15" customHeight="1" x14ac:dyDescent="0.2">
      <c r="A45" s="173" t="s">
        <v>291</v>
      </c>
      <c r="B45" s="160">
        <v>855</v>
      </c>
      <c r="C45" s="160">
        <v>2124</v>
      </c>
      <c r="D45" s="160">
        <v>2332</v>
      </c>
      <c r="E45" s="160">
        <v>952</v>
      </c>
      <c r="F45" s="160">
        <v>1624</v>
      </c>
      <c r="G45" s="160">
        <v>1598</v>
      </c>
      <c r="H45" s="161">
        <v>2326</v>
      </c>
      <c r="I45" s="161">
        <v>2042</v>
      </c>
      <c r="J45" s="161">
        <v>2294</v>
      </c>
      <c r="K45" s="161">
        <v>2599</v>
      </c>
      <c r="L45" s="161">
        <v>1669</v>
      </c>
      <c r="M45" s="161">
        <v>531</v>
      </c>
      <c r="N45" s="161">
        <v>2469</v>
      </c>
      <c r="O45" s="161">
        <v>1097</v>
      </c>
      <c r="P45" s="161">
        <v>1878</v>
      </c>
      <c r="Q45" s="161">
        <v>730</v>
      </c>
      <c r="R45" s="161">
        <v>2358</v>
      </c>
      <c r="S45" s="161">
        <v>1221</v>
      </c>
      <c r="T45" s="161">
        <v>1724</v>
      </c>
      <c r="U45" s="161">
        <v>735</v>
      </c>
      <c r="V45" s="161">
        <v>2703</v>
      </c>
      <c r="W45" s="161">
        <v>3568</v>
      </c>
      <c r="X45" s="161">
        <v>4148</v>
      </c>
      <c r="Y45" s="161">
        <v>4001</v>
      </c>
      <c r="Z45" s="161">
        <v>2590</v>
      </c>
      <c r="AA45" s="161">
        <v>3141</v>
      </c>
      <c r="AB45" s="161">
        <v>3238</v>
      </c>
      <c r="AC45" s="161">
        <v>1808</v>
      </c>
      <c r="AD45" s="161">
        <v>3894</v>
      </c>
      <c r="AE45" s="161">
        <v>4727</v>
      </c>
      <c r="AF45" s="161">
        <v>5076</v>
      </c>
      <c r="AG45" s="161">
        <v>3282</v>
      </c>
      <c r="AH45" s="161">
        <v>5711</v>
      </c>
      <c r="AI45" s="161">
        <v>4832</v>
      </c>
      <c r="AJ45" s="161">
        <v>14860</v>
      </c>
      <c r="AK45" s="161">
        <v>13785</v>
      </c>
      <c r="AL45" s="161">
        <v>7664</v>
      </c>
      <c r="AM45" s="161">
        <v>13720</v>
      </c>
      <c r="AN45" s="161">
        <v>11189</v>
      </c>
      <c r="AO45" s="161">
        <v>12398</v>
      </c>
      <c r="AP45" s="376">
        <v>13936</v>
      </c>
      <c r="AQ45" s="376">
        <v>12792</v>
      </c>
      <c r="AR45" s="376">
        <f>14424.253+133.954</f>
        <v>14558.207</v>
      </c>
      <c r="AS45" s="377">
        <v>14084</v>
      </c>
    </row>
    <row r="46" spans="1:45" s="164" customFormat="1" ht="15" customHeight="1" x14ac:dyDescent="0.2">
      <c r="A46" s="473" t="s">
        <v>292</v>
      </c>
      <c r="B46" s="160">
        <v>50653</v>
      </c>
      <c r="C46" s="160">
        <v>52900</v>
      </c>
      <c r="D46" s="160">
        <v>55319</v>
      </c>
      <c r="E46" s="160">
        <v>58526</v>
      </c>
      <c r="F46" s="160">
        <v>59722</v>
      </c>
      <c r="G46" s="160">
        <v>62068</v>
      </c>
      <c r="H46" s="161">
        <v>62888</v>
      </c>
      <c r="I46" s="161">
        <v>64587</v>
      </c>
      <c r="J46" s="161">
        <v>66673</v>
      </c>
      <c r="K46" s="161">
        <v>68829</v>
      </c>
      <c r="L46" s="161">
        <v>71401</v>
      </c>
      <c r="M46" s="161">
        <v>75572</v>
      </c>
      <c r="N46" s="161">
        <v>77685</v>
      </c>
      <c r="O46" s="161">
        <v>79308</v>
      </c>
      <c r="P46" s="161">
        <v>82363</v>
      </c>
      <c r="Q46" s="161">
        <v>87177</v>
      </c>
      <c r="R46" s="161">
        <v>89980</v>
      </c>
      <c r="S46" s="161">
        <v>93938</v>
      </c>
      <c r="T46" s="161">
        <v>97099</v>
      </c>
      <c r="U46" s="161">
        <v>103653</v>
      </c>
      <c r="V46" s="161">
        <v>106953</v>
      </c>
      <c r="W46" s="161">
        <v>111789</v>
      </c>
      <c r="X46" s="161">
        <v>117807</v>
      </c>
      <c r="Y46" s="161">
        <v>124217</v>
      </c>
      <c r="Z46" s="161">
        <v>127367</v>
      </c>
      <c r="AA46" s="161">
        <v>131819</v>
      </c>
      <c r="AB46" s="161">
        <v>133554</v>
      </c>
      <c r="AC46" s="161">
        <v>136229</v>
      </c>
      <c r="AD46" s="161">
        <v>137751</v>
      </c>
      <c r="AE46" s="161">
        <v>142732</v>
      </c>
      <c r="AF46" s="161">
        <v>145969</v>
      </c>
      <c r="AG46" s="161">
        <v>153267</v>
      </c>
      <c r="AH46" s="161">
        <v>157295</v>
      </c>
      <c r="AI46" s="161">
        <v>164566</v>
      </c>
      <c r="AJ46" s="161">
        <v>168629</v>
      </c>
      <c r="AK46" s="161">
        <v>177834</v>
      </c>
      <c r="AL46" s="161">
        <v>182973</v>
      </c>
      <c r="AM46" s="161">
        <v>190649</v>
      </c>
      <c r="AN46" s="161">
        <v>213608</v>
      </c>
      <c r="AO46" s="161">
        <v>223342</v>
      </c>
      <c r="AP46" s="376">
        <v>229432</v>
      </c>
      <c r="AQ46" s="376">
        <v>233640</v>
      </c>
      <c r="AR46" s="376">
        <f>28575.58+210711.549</f>
        <v>239287.12900000002</v>
      </c>
      <c r="AS46" s="377">
        <v>246653</v>
      </c>
    </row>
    <row r="47" spans="1:45" s="164" customFormat="1" ht="15" customHeight="1" x14ac:dyDescent="0.2">
      <c r="A47" s="173" t="s">
        <v>293</v>
      </c>
      <c r="B47" s="161">
        <f t="shared" ref="B47:AR47" si="10">SUM(B48:B55)</f>
        <v>42656</v>
      </c>
      <c r="C47" s="161">
        <f t="shared" si="10"/>
        <v>43700</v>
      </c>
      <c r="D47" s="161">
        <f t="shared" si="10"/>
        <v>45979</v>
      </c>
      <c r="E47" s="161">
        <f t="shared" si="10"/>
        <v>46571</v>
      </c>
      <c r="F47" s="161">
        <f t="shared" si="10"/>
        <v>51222</v>
      </c>
      <c r="G47" s="161">
        <f t="shared" si="10"/>
        <v>51806</v>
      </c>
      <c r="H47" s="161">
        <f t="shared" si="10"/>
        <v>54740</v>
      </c>
      <c r="I47" s="161">
        <f t="shared" si="10"/>
        <v>64590</v>
      </c>
      <c r="J47" s="161">
        <f t="shared" si="10"/>
        <v>74508</v>
      </c>
      <c r="K47" s="161">
        <f t="shared" si="10"/>
        <v>67246</v>
      </c>
      <c r="L47" s="161">
        <f t="shared" si="10"/>
        <v>66098</v>
      </c>
      <c r="M47" s="161">
        <f t="shared" si="10"/>
        <v>65141</v>
      </c>
      <c r="N47" s="161">
        <f t="shared" si="10"/>
        <v>68562</v>
      </c>
      <c r="O47" s="161">
        <f t="shared" si="10"/>
        <v>72260</v>
      </c>
      <c r="P47" s="161">
        <f t="shared" si="10"/>
        <v>83152</v>
      </c>
      <c r="Q47" s="161">
        <f t="shared" si="10"/>
        <v>76345</v>
      </c>
      <c r="R47" s="161">
        <f t="shared" si="10"/>
        <v>82071</v>
      </c>
      <c r="S47" s="161">
        <f t="shared" si="10"/>
        <v>85148</v>
      </c>
      <c r="T47" s="161">
        <f t="shared" si="10"/>
        <v>87457</v>
      </c>
      <c r="U47" s="161">
        <f t="shared" si="10"/>
        <v>86021</v>
      </c>
      <c r="V47" s="161">
        <f t="shared" si="10"/>
        <v>93926</v>
      </c>
      <c r="W47" s="161">
        <f t="shared" si="10"/>
        <v>104326</v>
      </c>
      <c r="X47" s="161">
        <f t="shared" si="10"/>
        <v>105816</v>
      </c>
      <c r="Y47" s="161">
        <f t="shared" si="10"/>
        <v>110919</v>
      </c>
      <c r="Z47" s="161">
        <f t="shared" si="10"/>
        <v>109060</v>
      </c>
      <c r="AA47" s="161">
        <f t="shared" si="10"/>
        <v>112421</v>
      </c>
      <c r="AB47" s="161">
        <f t="shared" si="10"/>
        <v>115703</v>
      </c>
      <c r="AC47" s="161">
        <f t="shared" si="10"/>
        <v>102925</v>
      </c>
      <c r="AD47" s="161">
        <f t="shared" si="10"/>
        <v>110146</v>
      </c>
      <c r="AE47" s="161">
        <f t="shared" si="10"/>
        <v>107590</v>
      </c>
      <c r="AF47" s="161">
        <f t="shared" si="10"/>
        <v>110241</v>
      </c>
      <c r="AG47" s="161">
        <f t="shared" si="10"/>
        <v>111710</v>
      </c>
      <c r="AH47" s="161">
        <f t="shared" si="10"/>
        <v>115754</v>
      </c>
      <c r="AI47" s="161">
        <f t="shared" si="10"/>
        <v>120522</v>
      </c>
      <c r="AJ47" s="161">
        <f t="shared" si="10"/>
        <v>131734</v>
      </c>
      <c r="AK47" s="161">
        <f t="shared" si="10"/>
        <v>135460</v>
      </c>
      <c r="AL47" s="161">
        <f t="shared" si="10"/>
        <v>148600</v>
      </c>
      <c r="AM47" s="161">
        <f t="shared" si="10"/>
        <v>160768</v>
      </c>
      <c r="AN47" s="161">
        <f t="shared" si="10"/>
        <v>161897</v>
      </c>
      <c r="AO47" s="161">
        <f t="shared" si="10"/>
        <v>155978</v>
      </c>
      <c r="AP47" s="376">
        <f t="shared" si="10"/>
        <v>152583</v>
      </c>
      <c r="AQ47" s="376">
        <f t="shared" si="10"/>
        <v>165490</v>
      </c>
      <c r="AR47" s="376">
        <f t="shared" si="10"/>
        <v>135632.87900000002</v>
      </c>
      <c r="AS47" s="377">
        <f t="shared" ref="AS47" si="11">SUM(AS48:AS55)</f>
        <v>129472.31200000001</v>
      </c>
    </row>
    <row r="48" spans="1:45" s="164" customFormat="1" ht="15" customHeight="1" x14ac:dyDescent="0.2">
      <c r="A48" s="139" t="s">
        <v>294</v>
      </c>
      <c r="B48" s="165">
        <v>1995</v>
      </c>
      <c r="C48" s="165">
        <v>1567</v>
      </c>
      <c r="D48" s="165">
        <v>1720</v>
      </c>
      <c r="E48" s="165">
        <v>229</v>
      </c>
      <c r="F48" s="165">
        <v>2711</v>
      </c>
      <c r="G48" s="165">
        <v>2288</v>
      </c>
      <c r="H48" s="166">
        <v>2295</v>
      </c>
      <c r="I48" s="166">
        <v>256</v>
      </c>
      <c r="J48" s="166">
        <v>2498</v>
      </c>
      <c r="K48" s="166">
        <v>2065</v>
      </c>
      <c r="L48" s="166">
        <v>2039</v>
      </c>
      <c r="M48" s="166">
        <v>258</v>
      </c>
      <c r="N48" s="166">
        <v>3015</v>
      </c>
      <c r="O48" s="166">
        <v>2397</v>
      </c>
      <c r="P48" s="166">
        <v>2629</v>
      </c>
      <c r="Q48" s="166">
        <v>300</v>
      </c>
      <c r="R48" s="166">
        <v>4145</v>
      </c>
      <c r="S48" s="166">
        <v>3147</v>
      </c>
      <c r="T48" s="166">
        <v>3021</v>
      </c>
      <c r="U48" s="166">
        <v>338</v>
      </c>
      <c r="V48" s="166">
        <v>5539</v>
      </c>
      <c r="W48" s="166">
        <v>3155</v>
      </c>
      <c r="X48" s="166">
        <v>3229</v>
      </c>
      <c r="Y48" s="166">
        <v>439</v>
      </c>
      <c r="Z48" s="166">
        <v>3253</v>
      </c>
      <c r="AA48" s="166">
        <v>3379</v>
      </c>
      <c r="AB48" s="166">
        <v>3552</v>
      </c>
      <c r="AC48" s="166">
        <v>814</v>
      </c>
      <c r="AD48" s="166">
        <v>3843</v>
      </c>
      <c r="AE48" s="166">
        <v>3737</v>
      </c>
      <c r="AF48" s="166">
        <v>3927</v>
      </c>
      <c r="AG48" s="166">
        <v>435</v>
      </c>
      <c r="AH48" s="166">
        <v>6564</v>
      </c>
      <c r="AI48" s="166">
        <v>3425</v>
      </c>
      <c r="AJ48" s="166">
        <v>3681</v>
      </c>
      <c r="AK48" s="166">
        <v>601</v>
      </c>
      <c r="AL48" s="166">
        <v>5126</v>
      </c>
      <c r="AM48" s="166">
        <v>3443</v>
      </c>
      <c r="AN48" s="166">
        <v>3749</v>
      </c>
      <c r="AO48" s="166">
        <v>732</v>
      </c>
      <c r="AP48" s="373">
        <v>4490</v>
      </c>
      <c r="AQ48" s="373">
        <v>3362</v>
      </c>
      <c r="AR48" s="373">
        <v>4352.91</v>
      </c>
      <c r="AS48" s="374">
        <v>1114</v>
      </c>
    </row>
    <row r="49" spans="1:45" s="164" customFormat="1" ht="15" customHeight="1" x14ac:dyDescent="0.2">
      <c r="A49" s="172" t="s">
        <v>118</v>
      </c>
      <c r="B49" s="165">
        <v>8416</v>
      </c>
      <c r="C49" s="165">
        <v>6405</v>
      </c>
      <c r="D49" s="165">
        <v>6091</v>
      </c>
      <c r="E49" s="165">
        <v>3467</v>
      </c>
      <c r="F49" s="165">
        <v>7319</v>
      </c>
      <c r="G49" s="165">
        <v>5546</v>
      </c>
      <c r="H49" s="166">
        <v>5978</v>
      </c>
      <c r="I49" s="166">
        <v>13538</v>
      </c>
      <c r="J49" s="166">
        <v>22367</v>
      </c>
      <c r="K49" s="166">
        <v>11128</v>
      </c>
      <c r="L49" s="166">
        <v>5820</v>
      </c>
      <c r="M49" s="166">
        <v>3918</v>
      </c>
      <c r="N49" s="166">
        <v>5453</v>
      </c>
      <c r="O49" s="166">
        <v>7485</v>
      </c>
      <c r="P49" s="166">
        <v>13697</v>
      </c>
      <c r="Q49" s="166">
        <v>5632</v>
      </c>
      <c r="R49" s="166">
        <v>11059</v>
      </c>
      <c r="S49" s="166">
        <v>7908</v>
      </c>
      <c r="T49" s="166">
        <v>7091</v>
      </c>
      <c r="U49" s="166">
        <v>3123</v>
      </c>
      <c r="V49" s="166">
        <v>5953</v>
      </c>
      <c r="W49" s="166">
        <v>6733</v>
      </c>
      <c r="X49" s="166">
        <v>3765</v>
      </c>
      <c r="Y49" s="166">
        <v>5071</v>
      </c>
      <c r="Z49" s="166">
        <v>6384</v>
      </c>
      <c r="AA49" s="166">
        <v>5601</v>
      </c>
      <c r="AB49" s="166">
        <v>10322</v>
      </c>
      <c r="AC49" s="166">
        <v>7771</v>
      </c>
      <c r="AD49" s="166">
        <v>11996</v>
      </c>
      <c r="AE49" s="166">
        <v>5552</v>
      </c>
      <c r="AF49" s="166">
        <v>5611</v>
      </c>
      <c r="AG49" s="166">
        <v>5385</v>
      </c>
      <c r="AH49" s="166">
        <v>4686</v>
      </c>
      <c r="AI49" s="166">
        <v>8142</v>
      </c>
      <c r="AJ49" s="166">
        <v>12302</v>
      </c>
      <c r="AK49" s="166">
        <v>5617</v>
      </c>
      <c r="AL49" s="166">
        <v>17358</v>
      </c>
      <c r="AM49" s="166">
        <v>25426</v>
      </c>
      <c r="AN49" s="166">
        <v>14107</v>
      </c>
      <c r="AO49" s="166">
        <v>8749</v>
      </c>
      <c r="AP49" s="373">
        <v>10964</v>
      </c>
      <c r="AQ49" s="373">
        <v>7106</v>
      </c>
      <c r="AR49" s="373">
        <v>10822.723</v>
      </c>
      <c r="AS49" s="374">
        <v>7655</v>
      </c>
    </row>
    <row r="50" spans="1:45" s="164" customFormat="1" ht="15" customHeight="1" x14ac:dyDescent="0.2">
      <c r="A50" s="139" t="s">
        <v>295</v>
      </c>
      <c r="B50" s="165">
        <v>634</v>
      </c>
      <c r="C50" s="165">
        <v>1312</v>
      </c>
      <c r="D50" s="165">
        <v>1627</v>
      </c>
      <c r="E50" s="165">
        <v>2195</v>
      </c>
      <c r="F50" s="165">
        <v>795</v>
      </c>
      <c r="G50" s="165">
        <v>1390</v>
      </c>
      <c r="H50" s="166">
        <v>1601</v>
      </c>
      <c r="I50" s="166">
        <v>1792</v>
      </c>
      <c r="J50" s="166">
        <v>772</v>
      </c>
      <c r="K50" s="166">
        <v>1321</v>
      </c>
      <c r="L50" s="166">
        <v>1301</v>
      </c>
      <c r="M50" s="166">
        <v>1784</v>
      </c>
      <c r="N50" s="166">
        <v>918</v>
      </c>
      <c r="O50" s="166">
        <v>1475</v>
      </c>
      <c r="P50" s="166">
        <v>1601</v>
      </c>
      <c r="Q50" s="166">
        <v>2158</v>
      </c>
      <c r="R50" s="166">
        <v>934</v>
      </c>
      <c r="S50" s="166">
        <v>1707</v>
      </c>
      <c r="T50" s="166">
        <v>1921</v>
      </c>
      <c r="U50" s="166">
        <v>2352</v>
      </c>
      <c r="V50" s="166">
        <v>940</v>
      </c>
      <c r="W50" s="166">
        <v>1727</v>
      </c>
      <c r="X50" s="166">
        <v>1749</v>
      </c>
      <c r="Y50" s="166">
        <v>2479</v>
      </c>
      <c r="Z50" s="166">
        <v>974</v>
      </c>
      <c r="AA50" s="166">
        <v>1771</v>
      </c>
      <c r="AB50" s="166">
        <v>1806</v>
      </c>
      <c r="AC50" s="166">
        <v>2471</v>
      </c>
      <c r="AD50" s="166">
        <v>1157</v>
      </c>
      <c r="AE50" s="166">
        <v>2188</v>
      </c>
      <c r="AF50" s="166">
        <v>2437</v>
      </c>
      <c r="AG50" s="166">
        <v>3106</v>
      </c>
      <c r="AH50" s="166">
        <v>1460</v>
      </c>
      <c r="AI50" s="166">
        <v>2657</v>
      </c>
      <c r="AJ50" s="166">
        <v>2889</v>
      </c>
      <c r="AK50" s="166">
        <v>3783</v>
      </c>
      <c r="AL50" s="166">
        <v>1402</v>
      </c>
      <c r="AM50" s="166">
        <v>2611</v>
      </c>
      <c r="AN50" s="166">
        <v>3647</v>
      </c>
      <c r="AO50" s="166">
        <v>4632</v>
      </c>
      <c r="AP50" s="373">
        <v>1806</v>
      </c>
      <c r="AQ50" s="373">
        <v>2500</v>
      </c>
      <c r="AR50" s="373">
        <v>3020.6759999999999</v>
      </c>
      <c r="AS50" s="374">
        <v>4650</v>
      </c>
    </row>
    <row r="51" spans="1:45" s="164" customFormat="1" ht="15" customHeight="1" x14ac:dyDescent="0.2">
      <c r="A51" s="139" t="s">
        <v>666</v>
      </c>
      <c r="B51" s="165">
        <v>8395</v>
      </c>
      <c r="C51" s="165">
        <v>9624</v>
      </c>
      <c r="D51" s="165">
        <v>10403</v>
      </c>
      <c r="E51" s="165">
        <v>9840</v>
      </c>
      <c r="F51" s="165">
        <v>10015</v>
      </c>
      <c r="G51" s="165">
        <v>11208</v>
      </c>
      <c r="H51" s="166">
        <v>10844</v>
      </c>
      <c r="I51" s="166">
        <v>11483</v>
      </c>
      <c r="J51" s="166">
        <v>11671</v>
      </c>
      <c r="K51" s="166">
        <v>13952</v>
      </c>
      <c r="L51" s="166">
        <v>15552</v>
      </c>
      <c r="M51" s="166">
        <v>13204</v>
      </c>
      <c r="N51" s="166">
        <v>13603</v>
      </c>
      <c r="O51" s="166">
        <v>14737</v>
      </c>
      <c r="P51" s="166">
        <v>16184</v>
      </c>
      <c r="Q51" s="166">
        <v>17189</v>
      </c>
      <c r="R51" s="166">
        <v>17262</v>
      </c>
      <c r="S51" s="166">
        <v>22406</v>
      </c>
      <c r="T51" s="166">
        <v>20164</v>
      </c>
      <c r="U51" s="166">
        <v>20922</v>
      </c>
      <c r="V51" s="166">
        <v>20351</v>
      </c>
      <c r="W51" s="166">
        <v>24839</v>
      </c>
      <c r="X51" s="166">
        <v>26057</v>
      </c>
      <c r="Y51" s="166">
        <v>27929</v>
      </c>
      <c r="Z51" s="166">
        <v>25909</v>
      </c>
      <c r="AA51" s="166">
        <v>25056</v>
      </c>
      <c r="AB51" s="166">
        <v>25927</v>
      </c>
      <c r="AC51" s="166">
        <v>15850</v>
      </c>
      <c r="AD51" s="166">
        <v>14617</v>
      </c>
      <c r="AE51" s="166">
        <v>16444</v>
      </c>
      <c r="AF51" s="166">
        <v>15349</v>
      </c>
      <c r="AG51" s="166">
        <v>16196</v>
      </c>
      <c r="AH51" s="166">
        <v>13997</v>
      </c>
      <c r="AI51" s="166">
        <v>15290</v>
      </c>
      <c r="AJ51" s="166">
        <v>16336</v>
      </c>
      <c r="AK51" s="166">
        <v>16339</v>
      </c>
      <c r="AL51" s="166">
        <v>18358</v>
      </c>
      <c r="AM51" s="166">
        <v>20742</v>
      </c>
      <c r="AN51" s="166">
        <v>17172</v>
      </c>
      <c r="AO51" s="166">
        <v>16024</v>
      </c>
      <c r="AP51" s="373">
        <v>7745</v>
      </c>
      <c r="AQ51" s="373">
        <v>7367</v>
      </c>
      <c r="AR51" s="373">
        <f>5666.901+4788.254</f>
        <v>10455.154999999999</v>
      </c>
      <c r="AS51" s="374">
        <v>8863</v>
      </c>
    </row>
    <row r="52" spans="1:45" s="164" customFormat="1" ht="15" customHeight="1" x14ac:dyDescent="0.2">
      <c r="A52" s="172" t="s">
        <v>239</v>
      </c>
      <c r="B52" s="165">
        <v>396</v>
      </c>
      <c r="C52" s="165">
        <v>149</v>
      </c>
      <c r="D52" s="165">
        <v>457</v>
      </c>
      <c r="E52" s="165">
        <v>658</v>
      </c>
      <c r="F52" s="165">
        <v>758</v>
      </c>
      <c r="G52" s="165">
        <v>781</v>
      </c>
      <c r="H52" s="170">
        <v>1217</v>
      </c>
      <c r="I52" s="170">
        <v>792</v>
      </c>
      <c r="J52" s="170">
        <v>1140</v>
      </c>
      <c r="K52" s="170">
        <v>1681</v>
      </c>
      <c r="L52" s="170">
        <v>1437</v>
      </c>
      <c r="M52" s="170">
        <v>1116</v>
      </c>
      <c r="N52" s="170">
        <v>1567</v>
      </c>
      <c r="O52" s="170">
        <v>1258</v>
      </c>
      <c r="P52" s="170">
        <v>1140</v>
      </c>
      <c r="Q52" s="170">
        <v>1034</v>
      </c>
      <c r="R52" s="170">
        <v>1006</v>
      </c>
      <c r="S52" s="170">
        <v>1055</v>
      </c>
      <c r="T52" s="170">
        <v>2532</v>
      </c>
      <c r="U52" s="170">
        <v>2551</v>
      </c>
      <c r="V52" s="170">
        <v>2685</v>
      </c>
      <c r="W52" s="170">
        <v>4232</v>
      </c>
      <c r="X52" s="170">
        <v>4881</v>
      </c>
      <c r="Y52" s="170">
        <v>5449</v>
      </c>
      <c r="Z52" s="170">
        <v>4545</v>
      </c>
      <c r="AA52" s="170">
        <v>5804</v>
      </c>
      <c r="AB52" s="170">
        <v>1913</v>
      </c>
      <c r="AC52" s="170">
        <v>2163</v>
      </c>
      <c r="AD52" s="170">
        <v>1605</v>
      </c>
      <c r="AE52" s="170">
        <v>1918</v>
      </c>
      <c r="AF52" s="170">
        <v>2306</v>
      </c>
      <c r="AG52" s="170">
        <v>2607</v>
      </c>
      <c r="AH52" s="170">
        <v>1973</v>
      </c>
      <c r="AI52" s="170">
        <v>1987</v>
      </c>
      <c r="AJ52" s="170">
        <v>3289</v>
      </c>
      <c r="AK52" s="170">
        <v>2713</v>
      </c>
      <c r="AL52" s="170">
        <v>2908</v>
      </c>
      <c r="AM52" s="170">
        <v>2411</v>
      </c>
      <c r="AN52" s="170">
        <v>2848</v>
      </c>
      <c r="AO52" s="170">
        <v>2430</v>
      </c>
      <c r="AP52" s="547">
        <v>3082</v>
      </c>
      <c r="AQ52" s="547">
        <v>2030</v>
      </c>
      <c r="AR52" s="547">
        <v>2677.56</v>
      </c>
      <c r="AS52" s="464">
        <v>2262</v>
      </c>
    </row>
    <row r="53" spans="1:45" s="164" customFormat="1" ht="15" customHeight="1" x14ac:dyDescent="0.2">
      <c r="A53" s="139" t="s">
        <v>296</v>
      </c>
      <c r="B53" s="165">
        <v>1</v>
      </c>
      <c r="C53" s="165">
        <v>1</v>
      </c>
      <c r="D53" s="165">
        <v>6</v>
      </c>
      <c r="E53" s="165">
        <v>2</v>
      </c>
      <c r="F53" s="165">
        <v>3</v>
      </c>
      <c r="G53" s="165">
        <v>4</v>
      </c>
      <c r="H53" s="166">
        <v>6</v>
      </c>
      <c r="I53" s="166">
        <v>7</v>
      </c>
      <c r="J53" s="166">
        <v>6</v>
      </c>
      <c r="K53" s="166">
        <v>6</v>
      </c>
      <c r="L53" s="166">
        <v>6</v>
      </c>
      <c r="M53" s="166">
        <v>0</v>
      </c>
      <c r="N53" s="166">
        <v>0</v>
      </c>
      <c r="O53" s="166">
        <v>0</v>
      </c>
      <c r="P53" s="166">
        <v>0</v>
      </c>
      <c r="Q53" s="166">
        <v>0</v>
      </c>
      <c r="R53" s="166">
        <v>0</v>
      </c>
      <c r="S53" s="166">
        <v>0</v>
      </c>
      <c r="T53" s="166">
        <v>0</v>
      </c>
      <c r="U53" s="166">
        <v>2</v>
      </c>
      <c r="V53" s="166">
        <v>1</v>
      </c>
      <c r="W53" s="166">
        <v>2</v>
      </c>
      <c r="X53" s="166">
        <v>1</v>
      </c>
      <c r="Y53" s="166">
        <v>3</v>
      </c>
      <c r="Z53" s="166">
        <v>2</v>
      </c>
      <c r="AA53" s="166">
        <v>1</v>
      </c>
      <c r="AB53" s="166">
        <v>4</v>
      </c>
      <c r="AC53" s="166">
        <v>2</v>
      </c>
      <c r="AD53" s="166">
        <v>3</v>
      </c>
      <c r="AE53" s="166">
        <v>1</v>
      </c>
      <c r="AF53" s="166">
        <v>3</v>
      </c>
      <c r="AG53" s="166">
        <v>2</v>
      </c>
      <c r="AH53" s="166">
        <v>2</v>
      </c>
      <c r="AI53" s="166">
        <v>1</v>
      </c>
      <c r="AJ53" s="166">
        <v>1</v>
      </c>
      <c r="AK53" s="166">
        <v>5</v>
      </c>
      <c r="AL53" s="166">
        <v>1</v>
      </c>
      <c r="AM53" s="166">
        <v>1</v>
      </c>
      <c r="AN53" s="166">
        <v>2</v>
      </c>
      <c r="AO53" s="166">
        <v>4</v>
      </c>
      <c r="AP53" s="373">
        <v>1</v>
      </c>
      <c r="AQ53" s="373">
        <v>1</v>
      </c>
      <c r="AR53" s="373">
        <v>1.3120000000000001</v>
      </c>
      <c r="AS53" s="374">
        <v>1.3120000000000001</v>
      </c>
    </row>
    <row r="54" spans="1:45" s="164" customFormat="1" ht="15" customHeight="1" x14ac:dyDescent="0.2">
      <c r="A54" s="172" t="s">
        <v>117</v>
      </c>
      <c r="B54" s="165">
        <v>12147</v>
      </c>
      <c r="C54" s="165">
        <v>13203</v>
      </c>
      <c r="D54" s="165">
        <v>13441</v>
      </c>
      <c r="E54" s="165">
        <v>15818</v>
      </c>
      <c r="F54" s="165">
        <v>16537</v>
      </c>
      <c r="G54" s="165">
        <v>16686</v>
      </c>
      <c r="H54" s="170">
        <v>17722</v>
      </c>
      <c r="I54" s="170">
        <v>19687</v>
      </c>
      <c r="J54" s="170">
        <v>20274</v>
      </c>
      <c r="K54" s="170">
        <v>20406</v>
      </c>
      <c r="L54" s="170">
        <v>22881</v>
      </c>
      <c r="M54" s="170">
        <v>23104</v>
      </c>
      <c r="N54" s="170">
        <v>23541</v>
      </c>
      <c r="O54" s="170">
        <v>23385</v>
      </c>
      <c r="P54" s="170">
        <v>25697</v>
      </c>
      <c r="Q54" s="170">
        <v>26315</v>
      </c>
      <c r="R54" s="170">
        <v>24408</v>
      </c>
      <c r="S54" s="170">
        <v>24564</v>
      </c>
      <c r="T54" s="170">
        <v>26181</v>
      </c>
      <c r="U54" s="170">
        <v>26910</v>
      </c>
      <c r="V54" s="170">
        <v>30122</v>
      </c>
      <c r="W54" s="170">
        <v>34091</v>
      </c>
      <c r="X54" s="170">
        <v>34507</v>
      </c>
      <c r="Y54" s="170">
        <v>34852</v>
      </c>
      <c r="Z54" s="170">
        <v>35057</v>
      </c>
      <c r="AA54" s="170">
        <v>36222</v>
      </c>
      <c r="AB54" s="170">
        <v>36135</v>
      </c>
      <c r="AC54" s="170">
        <v>35885</v>
      </c>
      <c r="AD54" s="170">
        <v>35840</v>
      </c>
      <c r="AE54" s="170">
        <v>35384</v>
      </c>
      <c r="AF54" s="170">
        <v>36464</v>
      </c>
      <c r="AG54" s="170">
        <v>35822</v>
      </c>
      <c r="AH54" s="170">
        <v>37989</v>
      </c>
      <c r="AI54" s="170">
        <v>37426</v>
      </c>
      <c r="AJ54" s="170">
        <v>38535</v>
      </c>
      <c r="AK54" s="170">
        <v>50283</v>
      </c>
      <c r="AL54" s="170">
        <v>50184</v>
      </c>
      <c r="AM54" s="170">
        <v>50952</v>
      </c>
      <c r="AN54" s="170">
        <v>53843</v>
      </c>
      <c r="AO54" s="170">
        <v>52611</v>
      </c>
      <c r="AP54" s="547">
        <v>50846</v>
      </c>
      <c r="AQ54" s="547">
        <v>53676</v>
      </c>
      <c r="AR54" s="547">
        <v>50534</v>
      </c>
      <c r="AS54" s="464">
        <v>50179</v>
      </c>
    </row>
    <row r="55" spans="1:45" s="164" customFormat="1" ht="15" customHeight="1" x14ac:dyDescent="0.2">
      <c r="A55" s="139" t="s">
        <v>380</v>
      </c>
      <c r="B55" s="165">
        <v>10672</v>
      </c>
      <c r="C55" s="165">
        <v>11439</v>
      </c>
      <c r="D55" s="165">
        <v>12234</v>
      </c>
      <c r="E55" s="165">
        <v>14362</v>
      </c>
      <c r="F55" s="165">
        <v>13084</v>
      </c>
      <c r="G55" s="165">
        <v>13903</v>
      </c>
      <c r="H55" s="166">
        <v>15077</v>
      </c>
      <c r="I55" s="166">
        <v>17035</v>
      </c>
      <c r="J55" s="166">
        <v>15780</v>
      </c>
      <c r="K55" s="166">
        <v>16687</v>
      </c>
      <c r="L55" s="166">
        <v>17062</v>
      </c>
      <c r="M55" s="166">
        <v>21757</v>
      </c>
      <c r="N55" s="166">
        <v>20465</v>
      </c>
      <c r="O55" s="166">
        <v>21523</v>
      </c>
      <c r="P55" s="166">
        <v>22204</v>
      </c>
      <c r="Q55" s="166">
        <v>23717</v>
      </c>
      <c r="R55" s="166">
        <v>23257</v>
      </c>
      <c r="S55" s="166">
        <v>24361</v>
      </c>
      <c r="T55" s="166">
        <v>26547</v>
      </c>
      <c r="U55" s="166">
        <v>29823</v>
      </c>
      <c r="V55" s="166">
        <v>28335</v>
      </c>
      <c r="W55" s="166">
        <v>29547</v>
      </c>
      <c r="X55" s="166">
        <v>31627</v>
      </c>
      <c r="Y55" s="166">
        <v>34697</v>
      </c>
      <c r="Z55" s="166">
        <v>32936</v>
      </c>
      <c r="AA55" s="166">
        <v>34587</v>
      </c>
      <c r="AB55" s="166">
        <v>36044</v>
      </c>
      <c r="AC55" s="166">
        <v>37969</v>
      </c>
      <c r="AD55" s="166">
        <v>41085</v>
      </c>
      <c r="AE55" s="166">
        <v>42366</v>
      </c>
      <c r="AF55" s="166">
        <v>44144</v>
      </c>
      <c r="AG55" s="166">
        <v>48157</v>
      </c>
      <c r="AH55" s="166">
        <v>49083</v>
      </c>
      <c r="AI55" s="166">
        <v>51594</v>
      </c>
      <c r="AJ55" s="166">
        <v>54701</v>
      </c>
      <c r="AK55" s="166">
        <v>56119</v>
      </c>
      <c r="AL55" s="166">
        <v>53263</v>
      </c>
      <c r="AM55" s="166">
        <v>55182</v>
      </c>
      <c r="AN55" s="166">
        <v>66529</v>
      </c>
      <c r="AO55" s="166">
        <v>70796</v>
      </c>
      <c r="AP55" s="373">
        <v>73649</v>
      </c>
      <c r="AQ55" s="373">
        <v>89448</v>
      </c>
      <c r="AR55" s="373">
        <f>26293.078+27475.465</f>
        <v>53768.543000000005</v>
      </c>
      <c r="AS55" s="374">
        <v>54748</v>
      </c>
    </row>
    <row r="56" spans="1:45" s="164" customFormat="1" ht="15" customHeight="1" x14ac:dyDescent="0.2">
      <c r="A56" s="173" t="s">
        <v>297</v>
      </c>
      <c r="B56" s="161">
        <f t="shared" ref="B56:AN56" si="12">B57</f>
        <v>164</v>
      </c>
      <c r="C56" s="161">
        <f t="shared" si="12"/>
        <v>173</v>
      </c>
      <c r="D56" s="161">
        <f t="shared" si="12"/>
        <v>173</v>
      </c>
      <c r="E56" s="161">
        <f t="shared" si="12"/>
        <v>189</v>
      </c>
      <c r="F56" s="161">
        <f t="shared" si="12"/>
        <v>190</v>
      </c>
      <c r="G56" s="161">
        <f t="shared" si="12"/>
        <v>208</v>
      </c>
      <c r="H56" s="161">
        <f t="shared" si="12"/>
        <v>227</v>
      </c>
      <c r="I56" s="161">
        <f t="shared" si="12"/>
        <v>274</v>
      </c>
      <c r="J56" s="161">
        <f t="shared" si="12"/>
        <v>273</v>
      </c>
      <c r="K56" s="161">
        <f t="shared" si="12"/>
        <v>272</v>
      </c>
      <c r="L56" s="161">
        <f t="shared" si="12"/>
        <v>297</v>
      </c>
      <c r="M56" s="161">
        <f t="shared" si="12"/>
        <v>321</v>
      </c>
      <c r="N56" s="161">
        <f t="shared" si="12"/>
        <v>292</v>
      </c>
      <c r="O56" s="161">
        <f t="shared" si="12"/>
        <v>337</v>
      </c>
      <c r="P56" s="161">
        <f t="shared" si="12"/>
        <v>312</v>
      </c>
      <c r="Q56" s="161">
        <f t="shared" si="12"/>
        <v>360</v>
      </c>
      <c r="R56" s="161">
        <f t="shared" si="12"/>
        <v>447</v>
      </c>
      <c r="S56" s="161">
        <f t="shared" si="12"/>
        <v>505</v>
      </c>
      <c r="T56" s="161">
        <f t="shared" si="12"/>
        <v>622</v>
      </c>
      <c r="U56" s="161">
        <f t="shared" si="12"/>
        <v>672</v>
      </c>
      <c r="V56" s="161">
        <f t="shared" si="12"/>
        <v>646</v>
      </c>
      <c r="W56" s="161">
        <f t="shared" si="12"/>
        <v>615</v>
      </c>
      <c r="X56" s="161">
        <f t="shared" si="12"/>
        <v>619</v>
      </c>
      <c r="Y56" s="161">
        <f t="shared" si="12"/>
        <v>658</v>
      </c>
      <c r="Z56" s="161">
        <f t="shared" si="12"/>
        <v>632</v>
      </c>
      <c r="AA56" s="161">
        <f t="shared" si="12"/>
        <v>661</v>
      </c>
      <c r="AB56" s="161">
        <f t="shared" si="12"/>
        <v>676</v>
      </c>
      <c r="AC56" s="161">
        <f t="shared" si="12"/>
        <v>677</v>
      </c>
      <c r="AD56" s="161">
        <f t="shared" si="12"/>
        <v>560</v>
      </c>
      <c r="AE56" s="161">
        <f t="shared" si="12"/>
        <v>224</v>
      </c>
      <c r="AF56" s="161">
        <f t="shared" si="12"/>
        <v>266</v>
      </c>
      <c r="AG56" s="161">
        <f t="shared" si="12"/>
        <v>293</v>
      </c>
      <c r="AH56" s="161">
        <f t="shared" si="12"/>
        <v>312</v>
      </c>
      <c r="AI56" s="161">
        <f t="shared" si="12"/>
        <v>399</v>
      </c>
      <c r="AJ56" s="161">
        <f t="shared" si="12"/>
        <v>459</v>
      </c>
      <c r="AK56" s="161">
        <f t="shared" si="12"/>
        <v>529</v>
      </c>
      <c r="AL56" s="161">
        <f t="shared" si="12"/>
        <v>488</v>
      </c>
      <c r="AM56" s="161">
        <f t="shared" si="12"/>
        <v>503</v>
      </c>
      <c r="AN56" s="161">
        <f t="shared" si="12"/>
        <v>473</v>
      </c>
      <c r="AO56" s="161">
        <f t="shared" ref="AO56:AQ56" si="13">AO57</f>
        <v>477</v>
      </c>
      <c r="AP56" s="376">
        <f t="shared" si="13"/>
        <v>426</v>
      </c>
      <c r="AQ56" s="376">
        <f t="shared" si="13"/>
        <v>429</v>
      </c>
      <c r="AR56" s="376">
        <v>400.84399999999999</v>
      </c>
      <c r="AS56" s="377">
        <f t="shared" ref="AS56" si="14">AS57</f>
        <v>410</v>
      </c>
    </row>
    <row r="57" spans="1:45" s="164" customFormat="1" ht="15" customHeight="1" x14ac:dyDescent="0.2">
      <c r="A57" s="474" t="s">
        <v>82</v>
      </c>
      <c r="B57" s="165">
        <v>164</v>
      </c>
      <c r="C57" s="165">
        <v>173</v>
      </c>
      <c r="D57" s="165">
        <v>173</v>
      </c>
      <c r="E57" s="165">
        <v>189</v>
      </c>
      <c r="F57" s="165">
        <v>190</v>
      </c>
      <c r="G57" s="165">
        <v>208</v>
      </c>
      <c r="H57" s="185">
        <v>227</v>
      </c>
      <c r="I57" s="185">
        <v>274</v>
      </c>
      <c r="J57" s="185">
        <v>273</v>
      </c>
      <c r="K57" s="185">
        <v>272</v>
      </c>
      <c r="L57" s="185">
        <v>297</v>
      </c>
      <c r="M57" s="185">
        <v>321</v>
      </c>
      <c r="N57" s="185">
        <v>292</v>
      </c>
      <c r="O57" s="185">
        <v>337</v>
      </c>
      <c r="P57" s="185">
        <v>312</v>
      </c>
      <c r="Q57" s="185">
        <v>360</v>
      </c>
      <c r="R57" s="185">
        <v>447</v>
      </c>
      <c r="S57" s="185">
        <v>505</v>
      </c>
      <c r="T57" s="185">
        <v>622</v>
      </c>
      <c r="U57" s="185">
        <v>672</v>
      </c>
      <c r="V57" s="185">
        <v>646</v>
      </c>
      <c r="W57" s="185">
        <v>615</v>
      </c>
      <c r="X57" s="185">
        <v>619</v>
      </c>
      <c r="Y57" s="185">
        <v>658</v>
      </c>
      <c r="Z57" s="185">
        <v>632</v>
      </c>
      <c r="AA57" s="185">
        <v>661</v>
      </c>
      <c r="AB57" s="185">
        <v>676</v>
      </c>
      <c r="AC57" s="185">
        <v>677</v>
      </c>
      <c r="AD57" s="185">
        <v>560</v>
      </c>
      <c r="AE57" s="185">
        <v>224</v>
      </c>
      <c r="AF57" s="185">
        <v>266</v>
      </c>
      <c r="AG57" s="185">
        <v>293</v>
      </c>
      <c r="AH57" s="185">
        <v>312</v>
      </c>
      <c r="AI57" s="185">
        <v>399</v>
      </c>
      <c r="AJ57" s="185">
        <v>459</v>
      </c>
      <c r="AK57" s="185">
        <v>529</v>
      </c>
      <c r="AL57" s="185">
        <v>488</v>
      </c>
      <c r="AM57" s="185">
        <v>503</v>
      </c>
      <c r="AN57" s="185">
        <v>473</v>
      </c>
      <c r="AO57" s="185">
        <v>477</v>
      </c>
      <c r="AP57" s="549">
        <v>426</v>
      </c>
      <c r="AQ57" s="549">
        <v>429</v>
      </c>
      <c r="AR57" s="549">
        <v>400.84399999999999</v>
      </c>
      <c r="AS57" s="466">
        <v>410</v>
      </c>
    </row>
    <row r="58" spans="1:45" s="164" customFormat="1" ht="15" customHeight="1" x14ac:dyDescent="0.2">
      <c r="A58" s="145" t="s">
        <v>298</v>
      </c>
      <c r="B58" s="160">
        <v>61</v>
      </c>
      <c r="C58" s="160">
        <v>63</v>
      </c>
      <c r="D58" s="160">
        <v>177</v>
      </c>
      <c r="E58" s="160">
        <v>155</v>
      </c>
      <c r="F58" s="160">
        <v>158</v>
      </c>
      <c r="G58" s="160">
        <v>162</v>
      </c>
      <c r="H58" s="174">
        <v>627</v>
      </c>
      <c r="I58" s="174">
        <v>321</v>
      </c>
      <c r="J58" s="174">
        <v>337</v>
      </c>
      <c r="K58" s="174">
        <v>355</v>
      </c>
      <c r="L58" s="174">
        <v>360</v>
      </c>
      <c r="M58" s="174">
        <v>797</v>
      </c>
      <c r="N58" s="174">
        <v>816</v>
      </c>
      <c r="O58" s="174">
        <v>678</v>
      </c>
      <c r="P58" s="174">
        <v>683</v>
      </c>
      <c r="Q58" s="174">
        <v>472</v>
      </c>
      <c r="R58" s="174">
        <v>574</v>
      </c>
      <c r="S58" s="174">
        <v>599</v>
      </c>
      <c r="T58" s="174">
        <v>613</v>
      </c>
      <c r="U58" s="174">
        <v>615</v>
      </c>
      <c r="V58" s="174">
        <v>630</v>
      </c>
      <c r="W58" s="174">
        <v>587</v>
      </c>
      <c r="X58" s="174">
        <v>586</v>
      </c>
      <c r="Y58" s="174">
        <v>588</v>
      </c>
      <c r="Z58" s="174">
        <v>605</v>
      </c>
      <c r="AA58" s="174">
        <v>582</v>
      </c>
      <c r="AB58" s="174">
        <v>592</v>
      </c>
      <c r="AC58" s="174">
        <v>605</v>
      </c>
      <c r="AD58" s="174">
        <v>549</v>
      </c>
      <c r="AE58" s="174">
        <v>486</v>
      </c>
      <c r="AF58" s="174">
        <v>490</v>
      </c>
      <c r="AG58" s="174">
        <v>393</v>
      </c>
      <c r="AH58" s="174">
        <v>1500</v>
      </c>
      <c r="AI58" s="174">
        <v>1481</v>
      </c>
      <c r="AJ58" s="174">
        <v>1480</v>
      </c>
      <c r="AK58" s="174">
        <v>1486</v>
      </c>
      <c r="AL58" s="174">
        <v>1519</v>
      </c>
      <c r="AM58" s="174">
        <v>1506</v>
      </c>
      <c r="AN58" s="174">
        <v>1527</v>
      </c>
      <c r="AO58" s="174">
        <v>1546</v>
      </c>
      <c r="AP58" s="548">
        <v>1586</v>
      </c>
      <c r="AQ58" s="548">
        <v>1571</v>
      </c>
      <c r="AR58" s="548">
        <v>1666.771</v>
      </c>
      <c r="AS58" s="465">
        <v>1697</v>
      </c>
    </row>
    <row r="59" spans="1:45" s="164" customFormat="1" ht="15" customHeight="1" x14ac:dyDescent="0.2">
      <c r="A59" s="145" t="s">
        <v>299</v>
      </c>
      <c r="B59" s="161">
        <f t="shared" ref="B59:AN59" si="15">SUM(B61:B67)</f>
        <v>26029</v>
      </c>
      <c r="C59" s="161">
        <f t="shared" si="15"/>
        <v>27515</v>
      </c>
      <c r="D59" s="161">
        <f t="shared" si="15"/>
        <v>29214</v>
      </c>
      <c r="E59" s="161">
        <f t="shared" si="15"/>
        <v>30358</v>
      </c>
      <c r="F59" s="161">
        <f t="shared" si="15"/>
        <v>32909</v>
      </c>
      <c r="G59" s="161">
        <f t="shared" si="15"/>
        <v>33711</v>
      </c>
      <c r="H59" s="161">
        <f t="shared" si="15"/>
        <v>34168</v>
      </c>
      <c r="I59" s="161">
        <f t="shared" si="15"/>
        <v>34257</v>
      </c>
      <c r="J59" s="161">
        <f t="shared" si="15"/>
        <v>35306</v>
      </c>
      <c r="K59" s="161">
        <f t="shared" si="15"/>
        <v>37278</v>
      </c>
      <c r="L59" s="161">
        <f t="shared" si="15"/>
        <v>38877</v>
      </c>
      <c r="M59" s="161">
        <f t="shared" si="15"/>
        <v>41754</v>
      </c>
      <c r="N59" s="161">
        <f t="shared" si="15"/>
        <v>43087</v>
      </c>
      <c r="O59" s="161">
        <f t="shared" si="15"/>
        <v>44295</v>
      </c>
      <c r="P59" s="161">
        <f t="shared" si="15"/>
        <v>46114</v>
      </c>
      <c r="Q59" s="161">
        <f t="shared" si="15"/>
        <v>48043</v>
      </c>
      <c r="R59" s="161">
        <f t="shared" si="15"/>
        <v>51297</v>
      </c>
      <c r="S59" s="161">
        <f t="shared" si="15"/>
        <v>52843</v>
      </c>
      <c r="T59" s="161">
        <f t="shared" si="15"/>
        <v>53742</v>
      </c>
      <c r="U59" s="161">
        <f t="shared" si="15"/>
        <v>55582</v>
      </c>
      <c r="V59" s="161">
        <f t="shared" si="15"/>
        <v>58060</v>
      </c>
      <c r="W59" s="161">
        <f t="shared" si="15"/>
        <v>63920</v>
      </c>
      <c r="X59" s="161">
        <f t="shared" si="15"/>
        <v>66047</v>
      </c>
      <c r="Y59" s="161">
        <f t="shared" si="15"/>
        <v>70047</v>
      </c>
      <c r="Z59" s="161">
        <f t="shared" si="15"/>
        <v>69442</v>
      </c>
      <c r="AA59" s="161">
        <f t="shared" si="15"/>
        <v>66028</v>
      </c>
      <c r="AB59" s="161">
        <f t="shared" si="15"/>
        <v>67033</v>
      </c>
      <c r="AC59" s="161">
        <f t="shared" si="15"/>
        <v>70940</v>
      </c>
      <c r="AD59" s="161">
        <f t="shared" si="15"/>
        <v>73326</v>
      </c>
      <c r="AE59" s="161">
        <f t="shared" si="15"/>
        <v>76800</v>
      </c>
      <c r="AF59" s="161">
        <f t="shared" si="15"/>
        <v>79242</v>
      </c>
      <c r="AG59" s="161">
        <f t="shared" si="15"/>
        <v>81508</v>
      </c>
      <c r="AH59" s="161">
        <f t="shared" si="15"/>
        <v>83937</v>
      </c>
      <c r="AI59" s="161">
        <f t="shared" si="15"/>
        <v>86972</v>
      </c>
      <c r="AJ59" s="161">
        <f t="shared" si="15"/>
        <v>86233</v>
      </c>
      <c r="AK59" s="161">
        <f t="shared" si="15"/>
        <v>88906</v>
      </c>
      <c r="AL59" s="161">
        <f t="shared" si="15"/>
        <v>93330</v>
      </c>
      <c r="AM59" s="161">
        <f t="shared" si="15"/>
        <v>96358</v>
      </c>
      <c r="AN59" s="161">
        <f t="shared" si="15"/>
        <v>98550</v>
      </c>
      <c r="AO59" s="161">
        <f>SUM(AO61:AO67)</f>
        <v>100442</v>
      </c>
      <c r="AP59" s="376">
        <f>SUM(AP61:AP67)</f>
        <v>104558</v>
      </c>
      <c r="AQ59" s="376">
        <f>SUM(AQ61:AQ67)</f>
        <v>106807</v>
      </c>
      <c r="AR59" s="376">
        <f>SUM(AR61:AR67)</f>
        <v>110300.602</v>
      </c>
      <c r="AS59" s="377">
        <f>SUM(AS61:AS67)</f>
        <v>110457.02100000001</v>
      </c>
    </row>
    <row r="60" spans="1:45" s="164" customFormat="1" ht="15" customHeight="1" x14ac:dyDescent="0.2">
      <c r="A60" s="169" t="s">
        <v>8</v>
      </c>
      <c r="B60" s="160"/>
      <c r="C60" s="160"/>
      <c r="D60" s="160"/>
      <c r="E60" s="160"/>
      <c r="F60" s="160"/>
      <c r="G60" s="16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0"/>
      <c r="AE60" s="170"/>
      <c r="AF60" s="170"/>
      <c r="AG60" s="170"/>
      <c r="AH60" s="170"/>
      <c r="AI60" s="170"/>
      <c r="AJ60" s="170"/>
      <c r="AK60" s="170"/>
      <c r="AL60" s="170"/>
      <c r="AM60" s="170"/>
      <c r="AN60" s="170"/>
      <c r="AO60" s="170"/>
      <c r="AP60" s="547"/>
      <c r="AQ60" s="547"/>
      <c r="AR60" s="547"/>
      <c r="AS60" s="464"/>
    </row>
    <row r="61" spans="1:45" s="164" customFormat="1" ht="15" customHeight="1" x14ac:dyDescent="0.2">
      <c r="A61" s="139" t="s">
        <v>300</v>
      </c>
      <c r="B61" s="165">
        <v>16692</v>
      </c>
      <c r="C61" s="165">
        <v>16756</v>
      </c>
      <c r="D61" s="165">
        <v>17741</v>
      </c>
      <c r="E61" s="165">
        <v>17694</v>
      </c>
      <c r="F61" s="165">
        <v>21412</v>
      </c>
      <c r="G61" s="165">
        <v>21731</v>
      </c>
      <c r="H61" s="166">
        <v>21780</v>
      </c>
      <c r="I61" s="166">
        <v>21665</v>
      </c>
      <c r="J61" s="166">
        <v>22135</v>
      </c>
      <c r="K61" s="166">
        <v>22075</v>
      </c>
      <c r="L61" s="166">
        <v>22148</v>
      </c>
      <c r="M61" s="166">
        <v>25635</v>
      </c>
      <c r="N61" s="166">
        <v>25703</v>
      </c>
      <c r="O61" s="166">
        <v>27749</v>
      </c>
      <c r="P61" s="166">
        <v>27887</v>
      </c>
      <c r="Q61" s="166">
        <v>29478</v>
      </c>
      <c r="R61" s="166">
        <v>29677</v>
      </c>
      <c r="S61" s="166">
        <v>29697</v>
      </c>
      <c r="T61" s="166">
        <v>29696</v>
      </c>
      <c r="U61" s="166">
        <v>29685</v>
      </c>
      <c r="V61" s="166">
        <v>29688</v>
      </c>
      <c r="W61" s="166">
        <v>29722</v>
      </c>
      <c r="X61" s="166">
        <v>29722</v>
      </c>
      <c r="Y61" s="166">
        <v>29723</v>
      </c>
      <c r="Z61" s="166">
        <v>37622</v>
      </c>
      <c r="AA61" s="166">
        <v>37623</v>
      </c>
      <c r="AB61" s="166">
        <v>37623</v>
      </c>
      <c r="AC61" s="166">
        <v>37622</v>
      </c>
      <c r="AD61" s="166">
        <v>37622</v>
      </c>
      <c r="AE61" s="166">
        <v>37622</v>
      </c>
      <c r="AF61" s="166">
        <v>37622</v>
      </c>
      <c r="AG61" s="166">
        <v>37622</v>
      </c>
      <c r="AH61" s="166">
        <v>42560</v>
      </c>
      <c r="AI61" s="166">
        <v>42560</v>
      </c>
      <c r="AJ61" s="166">
        <v>42560</v>
      </c>
      <c r="AK61" s="166">
        <v>45521</v>
      </c>
      <c r="AL61" s="166">
        <v>50461</v>
      </c>
      <c r="AM61" s="166">
        <v>50461</v>
      </c>
      <c r="AN61" s="166">
        <v>50461</v>
      </c>
      <c r="AO61" s="166">
        <v>50462</v>
      </c>
      <c r="AP61" s="373">
        <v>58362</v>
      </c>
      <c r="AQ61" s="373">
        <v>58362</v>
      </c>
      <c r="AR61" s="373">
        <v>58361.535000000003</v>
      </c>
      <c r="AS61" s="374">
        <v>58361.535000000003</v>
      </c>
    </row>
    <row r="62" spans="1:45" s="164" customFormat="1" ht="15" customHeight="1" x14ac:dyDescent="0.2">
      <c r="A62" s="139" t="s">
        <v>301</v>
      </c>
      <c r="B62" s="165">
        <v>1308</v>
      </c>
      <c r="C62" s="165">
        <v>1244</v>
      </c>
      <c r="D62" s="165">
        <v>1259</v>
      </c>
      <c r="E62" s="165">
        <v>1307</v>
      </c>
      <c r="F62" s="165">
        <v>1588</v>
      </c>
      <c r="G62" s="165">
        <v>1269</v>
      </c>
      <c r="H62" s="166">
        <v>1220</v>
      </c>
      <c r="I62" s="166">
        <v>1335</v>
      </c>
      <c r="J62" s="166">
        <v>865</v>
      </c>
      <c r="K62" s="166">
        <v>925</v>
      </c>
      <c r="L62" s="166">
        <v>852</v>
      </c>
      <c r="M62" s="166">
        <v>865</v>
      </c>
      <c r="N62" s="166">
        <v>797</v>
      </c>
      <c r="O62" s="166">
        <v>751</v>
      </c>
      <c r="P62" s="166">
        <v>613</v>
      </c>
      <c r="Q62" s="166">
        <v>522</v>
      </c>
      <c r="R62" s="166">
        <v>423</v>
      </c>
      <c r="S62" s="166">
        <v>403</v>
      </c>
      <c r="T62" s="166">
        <v>404</v>
      </c>
      <c r="U62" s="166">
        <v>415</v>
      </c>
      <c r="V62" s="166">
        <v>412</v>
      </c>
      <c r="W62" s="166">
        <v>378</v>
      </c>
      <c r="X62" s="166">
        <v>378</v>
      </c>
      <c r="Y62" s="166">
        <v>377</v>
      </c>
      <c r="Z62" s="166">
        <v>478</v>
      </c>
      <c r="AA62" s="166">
        <v>477</v>
      </c>
      <c r="AB62" s="166">
        <v>477</v>
      </c>
      <c r="AC62" s="166">
        <v>478</v>
      </c>
      <c r="AD62" s="166">
        <v>478</v>
      </c>
      <c r="AE62" s="166">
        <v>478</v>
      </c>
      <c r="AF62" s="166">
        <v>478</v>
      </c>
      <c r="AG62" s="166">
        <v>478</v>
      </c>
      <c r="AH62" s="166">
        <v>540</v>
      </c>
      <c r="AI62" s="166">
        <v>540</v>
      </c>
      <c r="AJ62" s="166">
        <v>540</v>
      </c>
      <c r="AK62" s="166">
        <v>579</v>
      </c>
      <c r="AL62" s="166">
        <v>640</v>
      </c>
      <c r="AM62" s="166">
        <v>640</v>
      </c>
      <c r="AN62" s="166">
        <v>639</v>
      </c>
      <c r="AO62" s="166">
        <v>638</v>
      </c>
      <c r="AP62" s="373">
        <v>738</v>
      </c>
      <c r="AQ62" s="373">
        <v>738</v>
      </c>
      <c r="AR62" s="373">
        <v>738.46500000000003</v>
      </c>
      <c r="AS62" s="374">
        <v>738</v>
      </c>
    </row>
    <row r="63" spans="1:45" s="164" customFormat="1" ht="15" customHeight="1" x14ac:dyDescent="0.2">
      <c r="A63" s="139" t="s">
        <v>302</v>
      </c>
      <c r="B63" s="165"/>
      <c r="C63" s="165"/>
      <c r="D63" s="165"/>
      <c r="E63" s="165"/>
      <c r="F63" s="166">
        <v>0</v>
      </c>
      <c r="G63" s="166">
        <v>0</v>
      </c>
      <c r="H63" s="166">
        <v>0</v>
      </c>
      <c r="I63" s="166">
        <v>0</v>
      </c>
      <c r="J63" s="166">
        <v>0</v>
      </c>
      <c r="K63" s="166">
        <v>0</v>
      </c>
      <c r="L63" s="166">
        <v>0</v>
      </c>
      <c r="M63" s="166">
        <v>0</v>
      </c>
      <c r="N63" s="166">
        <v>0</v>
      </c>
      <c r="O63" s="166">
        <v>0</v>
      </c>
      <c r="P63" s="166">
        <v>0</v>
      </c>
      <c r="Q63" s="166">
        <v>-1500</v>
      </c>
      <c r="R63" s="166">
        <v>0</v>
      </c>
      <c r="S63" s="166">
        <v>0</v>
      </c>
      <c r="T63" s="166">
        <v>0</v>
      </c>
      <c r="U63" s="166">
        <v>0</v>
      </c>
      <c r="V63" s="166">
        <v>0</v>
      </c>
      <c r="W63" s="166">
        <v>0</v>
      </c>
      <c r="X63" s="166">
        <v>0</v>
      </c>
      <c r="Y63" s="166">
        <v>0</v>
      </c>
      <c r="Z63" s="166">
        <v>0</v>
      </c>
      <c r="AA63" s="166">
        <v>0</v>
      </c>
      <c r="AB63" s="166">
        <v>0</v>
      </c>
      <c r="AC63" s="166">
        <v>0</v>
      </c>
      <c r="AD63" s="166">
        <v>0</v>
      </c>
      <c r="AE63" s="166">
        <v>0</v>
      </c>
      <c r="AF63" s="166">
        <v>0</v>
      </c>
      <c r="AG63" s="166">
        <v>0</v>
      </c>
      <c r="AH63" s="166">
        <v>0</v>
      </c>
      <c r="AI63" s="166">
        <v>0</v>
      </c>
      <c r="AJ63" s="166">
        <v>0</v>
      </c>
      <c r="AK63" s="166">
        <v>-3000</v>
      </c>
      <c r="AL63" s="166">
        <v>0</v>
      </c>
      <c r="AM63" s="166">
        <v>0</v>
      </c>
      <c r="AN63" s="166">
        <v>0</v>
      </c>
      <c r="AO63" s="166">
        <v>0</v>
      </c>
      <c r="AP63" s="373">
        <v>0</v>
      </c>
      <c r="AQ63" s="373">
        <v>0</v>
      </c>
      <c r="AR63" s="373">
        <v>0</v>
      </c>
      <c r="AS63" s="374">
        <v>0</v>
      </c>
    </row>
    <row r="64" spans="1:45" s="164" customFormat="1" ht="15" customHeight="1" x14ac:dyDescent="0.2">
      <c r="A64" s="139" t="s">
        <v>303</v>
      </c>
      <c r="B64" s="165">
        <v>55</v>
      </c>
      <c r="C64" s="165">
        <v>55</v>
      </c>
      <c r="D64" s="165">
        <v>56</v>
      </c>
      <c r="E64" s="165">
        <v>56</v>
      </c>
      <c r="F64" s="165">
        <v>62</v>
      </c>
      <c r="G64" s="165">
        <v>63</v>
      </c>
      <c r="H64" s="166">
        <v>63</v>
      </c>
      <c r="I64" s="166">
        <v>63</v>
      </c>
      <c r="J64" s="166">
        <v>63</v>
      </c>
      <c r="K64" s="166">
        <v>63</v>
      </c>
      <c r="L64" s="166">
        <v>63</v>
      </c>
      <c r="M64" s="166">
        <v>63</v>
      </c>
      <c r="N64" s="166">
        <v>63</v>
      </c>
      <c r="O64" s="166">
        <v>63</v>
      </c>
      <c r="P64" s="166">
        <v>63</v>
      </c>
      <c r="Q64" s="166">
        <v>63</v>
      </c>
      <c r="R64" s="166">
        <v>11</v>
      </c>
      <c r="S64" s="166">
        <v>11</v>
      </c>
      <c r="T64" s="166">
        <v>11</v>
      </c>
      <c r="U64" s="166">
        <v>11</v>
      </c>
      <c r="V64" s="166">
        <v>11</v>
      </c>
      <c r="W64" s="166">
        <v>11</v>
      </c>
      <c r="X64" s="166">
        <v>11</v>
      </c>
      <c r="Y64" s="166">
        <v>11</v>
      </c>
      <c r="Z64" s="166">
        <v>11</v>
      </c>
      <c r="AA64" s="166">
        <v>11</v>
      </c>
      <c r="AB64" s="166">
        <v>11</v>
      </c>
      <c r="AC64" s="166">
        <v>11</v>
      </c>
      <c r="AD64" s="166">
        <v>11</v>
      </c>
      <c r="AE64" s="166">
        <v>11</v>
      </c>
      <c r="AF64" s="166">
        <v>11</v>
      </c>
      <c r="AG64" s="166">
        <v>11</v>
      </c>
      <c r="AH64" s="166">
        <v>11</v>
      </c>
      <c r="AI64" s="166">
        <v>12</v>
      </c>
      <c r="AJ64" s="166">
        <v>11</v>
      </c>
      <c r="AK64" s="166">
        <v>11</v>
      </c>
      <c r="AL64" s="166">
        <v>11</v>
      </c>
      <c r="AM64" s="166">
        <v>11</v>
      </c>
      <c r="AN64" s="166">
        <v>11</v>
      </c>
      <c r="AO64" s="166">
        <v>11</v>
      </c>
      <c r="AP64" s="373">
        <v>11</v>
      </c>
      <c r="AQ64" s="373">
        <v>11</v>
      </c>
      <c r="AR64" s="373">
        <v>11.441000000000001</v>
      </c>
      <c r="AS64" s="374">
        <v>11</v>
      </c>
    </row>
    <row r="65" spans="1:47" s="164" customFormat="1" ht="15" customHeight="1" x14ac:dyDescent="0.2">
      <c r="A65" s="139" t="s">
        <v>304</v>
      </c>
      <c r="B65" s="165">
        <v>6092</v>
      </c>
      <c r="C65" s="165">
        <v>7597</v>
      </c>
      <c r="D65" s="165">
        <v>8454</v>
      </c>
      <c r="E65" s="165">
        <v>9963</v>
      </c>
      <c r="F65" s="165">
        <v>8394</v>
      </c>
      <c r="G65" s="165">
        <v>9678</v>
      </c>
      <c r="H65" s="166">
        <v>10975</v>
      </c>
      <c r="I65" s="166">
        <v>11860</v>
      </c>
      <c r="J65" s="166">
        <v>12936</v>
      </c>
      <c r="K65" s="166">
        <v>14509</v>
      </c>
      <c r="L65" s="166">
        <v>15704</v>
      </c>
      <c r="M65" s="166">
        <v>15023</v>
      </c>
      <c r="N65" s="166">
        <v>16185</v>
      </c>
      <c r="O65" s="166">
        <v>15798</v>
      </c>
      <c r="P65" s="166">
        <v>17456</v>
      </c>
      <c r="Q65" s="166">
        <v>19482</v>
      </c>
      <c r="R65" s="166">
        <v>21223</v>
      </c>
      <c r="S65" s="166">
        <v>23056</v>
      </c>
      <c r="T65" s="166">
        <v>24909</v>
      </c>
      <c r="U65" s="166">
        <v>26733</v>
      </c>
      <c r="V65" s="166">
        <v>28573</v>
      </c>
      <c r="W65" s="166">
        <v>30443</v>
      </c>
      <c r="X65" s="166">
        <v>32297</v>
      </c>
      <c r="Y65" s="166">
        <v>34219</v>
      </c>
      <c r="Z65" s="166">
        <v>28110</v>
      </c>
      <c r="AA65" s="166">
        <v>30021</v>
      </c>
      <c r="AB65" s="166">
        <v>32006</v>
      </c>
      <c r="AC65" s="166">
        <v>34152</v>
      </c>
      <c r="AD65" s="166">
        <v>36383</v>
      </c>
      <c r="AE65" s="166">
        <v>38977</v>
      </c>
      <c r="AF65" s="166">
        <v>41488</v>
      </c>
      <c r="AG65" s="166">
        <v>44186</v>
      </c>
      <c r="AH65" s="166">
        <v>41936</v>
      </c>
      <c r="AI65" s="166">
        <v>44995</v>
      </c>
      <c r="AJ65" s="166">
        <v>47665</v>
      </c>
      <c r="AK65" s="166">
        <v>50341</v>
      </c>
      <c r="AL65" s="166">
        <v>45011</v>
      </c>
      <c r="AM65" s="166">
        <v>47690</v>
      </c>
      <c r="AN65" s="166">
        <v>48648</v>
      </c>
      <c r="AO65" s="166">
        <v>50449</v>
      </c>
      <c r="AP65" s="373">
        <v>44675</v>
      </c>
      <c r="AQ65" s="373">
        <v>47621</v>
      </c>
      <c r="AR65" s="373">
        <v>48718.218000000001</v>
      </c>
      <c r="AS65" s="374">
        <v>49902</v>
      </c>
    </row>
    <row r="66" spans="1:47" s="164" customFormat="1" ht="15" customHeight="1" x14ac:dyDescent="0.2">
      <c r="A66" s="172" t="s">
        <v>305</v>
      </c>
      <c r="B66" s="165">
        <v>1949</v>
      </c>
      <c r="C66" s="165">
        <v>1938</v>
      </c>
      <c r="D66" s="165">
        <v>1805</v>
      </c>
      <c r="E66" s="165">
        <v>1470</v>
      </c>
      <c r="F66" s="165">
        <v>1453</v>
      </c>
      <c r="G66" s="165">
        <v>973</v>
      </c>
      <c r="H66" s="170">
        <v>134</v>
      </c>
      <c r="I66" s="170">
        <v>-661</v>
      </c>
      <c r="J66" s="170">
        <v>-688</v>
      </c>
      <c r="K66" s="170">
        <v>-289</v>
      </c>
      <c r="L66" s="170">
        <v>205</v>
      </c>
      <c r="M66" s="170">
        <v>357</v>
      </c>
      <c r="N66" s="170">
        <v>339</v>
      </c>
      <c r="O66" s="170">
        <v>-66</v>
      </c>
      <c r="P66" s="170">
        <v>95</v>
      </c>
      <c r="Q66" s="170">
        <v>8</v>
      </c>
      <c r="R66" s="170">
        <v>26</v>
      </c>
      <c r="S66" s="170">
        <v>-261</v>
      </c>
      <c r="T66" s="170">
        <v>-1095</v>
      </c>
      <c r="U66" s="170">
        <v>-1079</v>
      </c>
      <c r="V66" s="170">
        <v>-440</v>
      </c>
      <c r="W66" s="170">
        <v>3551</v>
      </c>
      <c r="X66" s="170">
        <v>3836</v>
      </c>
      <c r="Y66" s="170">
        <v>5914</v>
      </c>
      <c r="Z66" s="170">
        <v>3418</v>
      </c>
      <c r="AA66" s="170">
        <v>-1907</v>
      </c>
      <c r="AB66" s="170">
        <v>-2822</v>
      </c>
      <c r="AC66" s="170">
        <v>-1054</v>
      </c>
      <c r="AD66" s="170">
        <v>-870</v>
      </c>
      <c r="AE66" s="170">
        <v>10</v>
      </c>
      <c r="AF66" s="170">
        <v>-59</v>
      </c>
      <c r="AG66" s="170">
        <v>-491</v>
      </c>
      <c r="AH66" s="170">
        <v>-812</v>
      </c>
      <c r="AI66" s="170">
        <v>-764</v>
      </c>
      <c r="AJ66" s="170">
        <v>-4122</v>
      </c>
      <c r="AK66" s="170">
        <v>-4115</v>
      </c>
      <c r="AL66" s="170">
        <v>-2352</v>
      </c>
      <c r="AM66" s="170">
        <v>-2003</v>
      </c>
      <c r="AN66" s="170">
        <v>-769</v>
      </c>
      <c r="AO66" s="170">
        <v>-677</v>
      </c>
      <c r="AP66" s="547">
        <v>1213</v>
      </c>
      <c r="AQ66" s="547">
        <v>516</v>
      </c>
      <c r="AR66" s="547">
        <v>2911.4569999999999</v>
      </c>
      <c r="AS66" s="464">
        <v>1885</v>
      </c>
    </row>
    <row r="67" spans="1:47" s="164" customFormat="1" ht="15" customHeight="1" x14ac:dyDescent="0.2">
      <c r="A67" s="139" t="s">
        <v>306</v>
      </c>
      <c r="B67" s="165">
        <v>-67</v>
      </c>
      <c r="C67" s="165">
        <v>-75</v>
      </c>
      <c r="D67" s="165">
        <v>-101</v>
      </c>
      <c r="E67" s="165">
        <v>-132</v>
      </c>
      <c r="F67" s="165">
        <v>0</v>
      </c>
      <c r="G67" s="165">
        <v>-3</v>
      </c>
      <c r="H67" s="166">
        <v>-4</v>
      </c>
      <c r="I67" s="166">
        <v>-5</v>
      </c>
      <c r="J67" s="166">
        <v>-5</v>
      </c>
      <c r="K67" s="166">
        <v>-5</v>
      </c>
      <c r="L67" s="166">
        <v>-95</v>
      </c>
      <c r="M67" s="166">
        <v>-189</v>
      </c>
      <c r="N67" s="166">
        <v>0</v>
      </c>
      <c r="O67" s="166">
        <v>0</v>
      </c>
      <c r="P67" s="166">
        <v>0</v>
      </c>
      <c r="Q67" s="166">
        <v>-10</v>
      </c>
      <c r="R67" s="166">
        <v>-63</v>
      </c>
      <c r="S67" s="166">
        <v>-63</v>
      </c>
      <c r="T67" s="166">
        <v>-183</v>
      </c>
      <c r="U67" s="166">
        <v>-183</v>
      </c>
      <c r="V67" s="166">
        <v>-184</v>
      </c>
      <c r="W67" s="166">
        <v>-185</v>
      </c>
      <c r="X67" s="166">
        <v>-197</v>
      </c>
      <c r="Y67" s="166">
        <v>-197</v>
      </c>
      <c r="Z67" s="166">
        <v>-197</v>
      </c>
      <c r="AA67" s="166">
        <v>-197</v>
      </c>
      <c r="AB67" s="166">
        <v>-262</v>
      </c>
      <c r="AC67" s="166">
        <v>-269</v>
      </c>
      <c r="AD67" s="166">
        <v>-298</v>
      </c>
      <c r="AE67" s="166">
        <v>-298</v>
      </c>
      <c r="AF67" s="166">
        <v>-298</v>
      </c>
      <c r="AG67" s="166">
        <v>-298</v>
      </c>
      <c r="AH67" s="166">
        <v>-298</v>
      </c>
      <c r="AI67" s="166">
        <v>-371</v>
      </c>
      <c r="AJ67" s="166">
        <v>-421</v>
      </c>
      <c r="AK67" s="166">
        <v>-431</v>
      </c>
      <c r="AL67" s="166">
        <v>-441</v>
      </c>
      <c r="AM67" s="166">
        <v>-441</v>
      </c>
      <c r="AN67" s="166">
        <v>-440</v>
      </c>
      <c r="AO67" s="166">
        <v>-441</v>
      </c>
      <c r="AP67" s="373">
        <v>-441</v>
      </c>
      <c r="AQ67" s="373">
        <v>-441</v>
      </c>
      <c r="AR67" s="373">
        <v>-440.51400000000001</v>
      </c>
      <c r="AS67" s="374">
        <v>-440.51400000000001</v>
      </c>
    </row>
    <row r="68" spans="1:47" s="164" customFormat="1" ht="5.0999999999999996" customHeight="1" x14ac:dyDescent="0.2">
      <c r="A68" s="139"/>
      <c r="B68" s="165"/>
      <c r="C68" s="165"/>
      <c r="D68" s="165"/>
      <c r="E68" s="165"/>
      <c r="F68" s="165"/>
      <c r="G68" s="165"/>
      <c r="H68" s="166"/>
      <c r="I68" s="166"/>
      <c r="J68" s="166"/>
      <c r="K68" s="166"/>
      <c r="L68" s="166"/>
      <c r="M68" s="166"/>
      <c r="N68" s="166"/>
      <c r="O68" s="166"/>
      <c r="P68" s="166"/>
      <c r="Q68" s="166"/>
      <c r="R68" s="166"/>
      <c r="S68" s="166"/>
      <c r="T68" s="166"/>
      <c r="U68" s="166"/>
      <c r="V68" s="166"/>
      <c r="W68" s="166"/>
      <c r="X68" s="166"/>
      <c r="Y68" s="166"/>
      <c r="Z68" s="166"/>
      <c r="AA68" s="166"/>
      <c r="AB68" s="166"/>
      <c r="AC68" s="166"/>
      <c r="AD68" s="166"/>
      <c r="AE68" s="166"/>
      <c r="AF68" s="166"/>
      <c r="AG68" s="166"/>
      <c r="AH68" s="166"/>
      <c r="AI68" s="166"/>
      <c r="AJ68" s="166"/>
      <c r="AK68" s="166"/>
      <c r="AL68" s="166"/>
      <c r="AM68" s="166"/>
      <c r="AN68" s="166"/>
      <c r="AO68" s="166"/>
      <c r="AP68" s="373"/>
      <c r="AQ68" s="373"/>
      <c r="AR68" s="373"/>
      <c r="AS68" s="373"/>
    </row>
    <row r="69" spans="1:47" s="149" customFormat="1" ht="15" customHeight="1" thickBot="1" x14ac:dyDescent="0.25">
      <c r="A69" s="175" t="s">
        <v>9</v>
      </c>
      <c r="B69" s="176">
        <f t="shared" ref="B69:AR69" si="16">B10+B56+B58+B59</f>
        <v>281944</v>
      </c>
      <c r="C69" s="176">
        <f t="shared" si="16"/>
        <v>290568</v>
      </c>
      <c r="D69" s="176">
        <f t="shared" si="16"/>
        <v>317648</v>
      </c>
      <c r="E69" s="176">
        <f t="shared" si="16"/>
        <v>341144</v>
      </c>
      <c r="F69" s="176">
        <f t="shared" si="16"/>
        <v>355470</v>
      </c>
      <c r="G69" s="176">
        <f t="shared" si="16"/>
        <v>403232</v>
      </c>
      <c r="H69" s="176">
        <f t="shared" si="16"/>
        <v>422662</v>
      </c>
      <c r="I69" s="176">
        <f t="shared" si="16"/>
        <v>454413</v>
      </c>
      <c r="J69" s="176">
        <f t="shared" si="16"/>
        <v>482141</v>
      </c>
      <c r="K69" s="176">
        <f t="shared" si="16"/>
        <v>482480</v>
      </c>
      <c r="L69" s="176">
        <f t="shared" si="16"/>
        <v>485686</v>
      </c>
      <c r="M69" s="176">
        <f t="shared" si="16"/>
        <v>506223</v>
      </c>
      <c r="N69" s="176">
        <f t="shared" si="16"/>
        <v>532626</v>
      </c>
      <c r="O69" s="176">
        <f t="shared" si="16"/>
        <v>558100</v>
      </c>
      <c r="P69" s="176">
        <f t="shared" si="16"/>
        <v>611903</v>
      </c>
      <c r="Q69" s="176">
        <f t="shared" si="16"/>
        <v>637485</v>
      </c>
      <c r="R69" s="176">
        <f t="shared" si="16"/>
        <v>675387</v>
      </c>
      <c r="S69" s="176">
        <f t="shared" si="16"/>
        <v>689307</v>
      </c>
      <c r="T69" s="176">
        <f t="shared" si="16"/>
        <v>722289</v>
      </c>
      <c r="U69" s="176">
        <f t="shared" si="16"/>
        <v>761533</v>
      </c>
      <c r="V69" s="176">
        <f t="shared" si="16"/>
        <v>789550</v>
      </c>
      <c r="W69" s="176">
        <f t="shared" si="16"/>
        <v>830520</v>
      </c>
      <c r="X69" s="176">
        <f t="shared" si="16"/>
        <v>856288</v>
      </c>
      <c r="Y69" s="176">
        <f t="shared" si="16"/>
        <v>879092</v>
      </c>
      <c r="Z69" s="176">
        <f t="shared" si="16"/>
        <v>894467</v>
      </c>
      <c r="AA69" s="176">
        <f t="shared" si="16"/>
        <v>896697</v>
      </c>
      <c r="AB69" s="176">
        <f t="shared" si="16"/>
        <v>907694</v>
      </c>
      <c r="AC69" s="176">
        <f t="shared" si="16"/>
        <v>908139</v>
      </c>
      <c r="AD69" s="176">
        <f t="shared" si="16"/>
        <v>922229</v>
      </c>
      <c r="AE69" s="176">
        <f t="shared" si="16"/>
        <v>931132</v>
      </c>
      <c r="AF69" s="176">
        <f t="shared" si="16"/>
        <v>987364</v>
      </c>
      <c r="AG69" s="176">
        <f t="shared" si="16"/>
        <v>1032040</v>
      </c>
      <c r="AH69" s="176">
        <f t="shared" si="16"/>
        <v>1034814</v>
      </c>
      <c r="AI69" s="176">
        <f t="shared" si="16"/>
        <v>1029762</v>
      </c>
      <c r="AJ69" s="176">
        <f t="shared" si="16"/>
        <v>1050983</v>
      </c>
      <c r="AK69" s="176">
        <f t="shared" si="16"/>
        <v>1079752</v>
      </c>
      <c r="AL69" s="176">
        <f t="shared" si="16"/>
        <v>1101763</v>
      </c>
      <c r="AM69" s="176">
        <f t="shared" si="16"/>
        <v>1105244</v>
      </c>
      <c r="AN69" s="176">
        <f t="shared" si="16"/>
        <v>1270139</v>
      </c>
      <c r="AO69" s="176">
        <f t="shared" si="16"/>
        <v>1293559</v>
      </c>
      <c r="AP69" s="375">
        <f t="shared" si="16"/>
        <v>1294139</v>
      </c>
      <c r="AQ69" s="375">
        <f t="shared" si="16"/>
        <v>1291184</v>
      </c>
      <c r="AR69" s="375">
        <f t="shared" si="16"/>
        <v>1311671.9909999999</v>
      </c>
      <c r="AS69" s="375">
        <f t="shared" ref="AS69" si="17">AS10+AS56+AS58+AS59</f>
        <v>1298327.8719999997</v>
      </c>
      <c r="AT69" s="164"/>
      <c r="AU69" s="164"/>
    </row>
    <row r="70" spans="1:47" s="164" customFormat="1" ht="15" customHeight="1" thickTop="1" x14ac:dyDescent="0.2">
      <c r="A70" s="186"/>
      <c r="B70" s="186"/>
      <c r="C70" s="186"/>
      <c r="D70" s="186"/>
      <c r="E70" s="186"/>
      <c r="F70" s="186"/>
      <c r="G70" s="186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6"/>
      <c r="S70" s="186"/>
      <c r="T70" s="186"/>
      <c r="U70" s="186"/>
      <c r="V70" s="186"/>
      <c r="W70" s="186"/>
      <c r="X70" s="186"/>
      <c r="Y70" s="186"/>
      <c r="Z70" s="186"/>
      <c r="AA70" s="186"/>
      <c r="AB70" s="186"/>
      <c r="AC70" s="186"/>
      <c r="AD70" s="186"/>
      <c r="AE70" s="186"/>
      <c r="AF70" s="186"/>
      <c r="AG70" s="186"/>
      <c r="AH70" s="186"/>
      <c r="AI70" s="186"/>
      <c r="AJ70" s="186"/>
      <c r="AK70" s="186"/>
      <c r="AL70" s="186"/>
      <c r="AM70" s="186"/>
      <c r="AN70" s="186"/>
      <c r="AO70" s="186"/>
      <c r="AP70" s="186"/>
      <c r="AQ70" s="186"/>
      <c r="AR70" s="186"/>
      <c r="AS70" s="186"/>
    </row>
    <row r="71" spans="1:47" s="164" customFormat="1" ht="35.1" customHeight="1" x14ac:dyDescent="0.2">
      <c r="A71" s="499" t="s">
        <v>641</v>
      </c>
      <c r="B71" s="499"/>
      <c r="C71" s="499"/>
      <c r="D71" s="499"/>
      <c r="E71" s="499"/>
      <c r="F71" s="186"/>
      <c r="G71" s="186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6"/>
      <c r="S71" s="186"/>
      <c r="T71" s="186"/>
      <c r="U71" s="186"/>
      <c r="V71" s="186"/>
      <c r="W71" s="186"/>
      <c r="X71" s="186"/>
      <c r="Y71" s="186"/>
      <c r="Z71" s="186"/>
      <c r="AA71" s="186"/>
      <c r="AB71" s="186"/>
      <c r="AC71" s="186"/>
      <c r="AD71" s="186"/>
      <c r="AE71" s="186"/>
      <c r="AF71" s="186"/>
      <c r="AG71" s="186"/>
      <c r="AH71" s="186"/>
      <c r="AI71" s="186"/>
      <c r="AJ71" s="186"/>
      <c r="AK71" s="186"/>
      <c r="AL71" s="186"/>
      <c r="AM71" s="186"/>
      <c r="AN71" s="186"/>
      <c r="AO71" s="186"/>
      <c r="AP71" s="186"/>
      <c r="AQ71" s="186"/>
      <c r="AR71" s="186"/>
      <c r="AS71" s="186"/>
    </row>
    <row r="72" spans="1:47" s="164" customFormat="1" ht="35.1" customHeight="1" x14ac:dyDescent="0.2">
      <c r="A72" s="499" t="s">
        <v>668</v>
      </c>
      <c r="B72" s="499"/>
      <c r="C72" s="499"/>
      <c r="D72" s="499"/>
      <c r="E72" s="499"/>
      <c r="F72" s="186"/>
      <c r="G72" s="186"/>
      <c r="H72" s="186"/>
      <c r="I72" s="186"/>
      <c r="J72" s="186"/>
      <c r="K72" s="186"/>
      <c r="L72" s="186"/>
      <c r="M72" s="186"/>
      <c r="N72" s="186"/>
      <c r="O72" s="186"/>
      <c r="P72" s="186"/>
      <c r="Q72" s="186"/>
      <c r="R72" s="186"/>
      <c r="S72" s="186"/>
      <c r="T72" s="186"/>
      <c r="U72" s="186"/>
      <c r="V72" s="186"/>
      <c r="W72" s="186"/>
      <c r="X72" s="186"/>
      <c r="Y72" s="186"/>
      <c r="Z72" s="186"/>
      <c r="AA72" s="186"/>
      <c r="AB72" s="186"/>
      <c r="AC72" s="186"/>
      <c r="AD72" s="186"/>
      <c r="AE72" s="186"/>
      <c r="AF72" s="186"/>
      <c r="AG72" s="186"/>
      <c r="AH72" s="186"/>
      <c r="AI72" s="186"/>
      <c r="AJ72" s="186"/>
      <c r="AK72" s="186"/>
      <c r="AL72" s="186"/>
      <c r="AM72" s="186"/>
      <c r="AN72" s="186"/>
      <c r="AO72" s="186"/>
      <c r="AP72" s="186"/>
      <c r="AQ72" s="186"/>
      <c r="AR72" s="186"/>
      <c r="AS72" s="186"/>
    </row>
    <row r="73" spans="1:47" s="164" customFormat="1" ht="29.25" customHeight="1" x14ac:dyDescent="0.2">
      <c r="A73" s="693" t="s">
        <v>667</v>
      </c>
      <c r="B73" s="499"/>
      <c r="C73" s="499"/>
      <c r="D73" s="499"/>
      <c r="E73" s="499"/>
      <c r="F73" s="186"/>
      <c r="G73" s="186"/>
      <c r="H73" s="186"/>
      <c r="I73" s="186"/>
      <c r="J73" s="186"/>
      <c r="K73" s="186"/>
      <c r="L73" s="186"/>
      <c r="M73" s="186"/>
      <c r="N73" s="186"/>
      <c r="O73" s="186"/>
      <c r="P73" s="186"/>
      <c r="Q73" s="186"/>
      <c r="R73" s="186"/>
      <c r="S73" s="186"/>
      <c r="T73" s="186"/>
      <c r="U73" s="186"/>
      <c r="V73" s="186"/>
      <c r="W73" s="186"/>
      <c r="X73" s="186"/>
      <c r="Y73" s="186"/>
      <c r="Z73" s="186"/>
      <c r="AA73" s="186"/>
      <c r="AB73" s="186"/>
      <c r="AC73" s="186"/>
      <c r="AD73" s="186"/>
      <c r="AE73" s="186"/>
      <c r="AF73" s="186"/>
      <c r="AG73" s="186"/>
      <c r="AH73" s="186"/>
      <c r="AI73" s="186"/>
      <c r="AJ73" s="186"/>
      <c r="AK73" s="186"/>
      <c r="AL73" s="186"/>
      <c r="AM73" s="186"/>
      <c r="AN73" s="186"/>
      <c r="AO73" s="186"/>
      <c r="AP73" s="186"/>
      <c r="AQ73" s="186"/>
      <c r="AR73" s="186"/>
      <c r="AS73" s="186"/>
    </row>
  </sheetData>
  <hyperlinks>
    <hyperlink ref="AS6" location="Índex!E9" display="Índex"/>
  </hyperlinks>
  <printOptions horizontalCentered="1"/>
  <pageMargins left="0" right="0" top="0.19685039370078741" bottom="0.19685039370078741" header="0" footer="0"/>
  <pageSetup paperSize="9" scale="50" fitToHeight="5" orientation="portrait" r:id="rId1"/>
  <headerFooter>
    <oddHeader>&amp;R&amp;P/&amp;N</oddHeader>
  </headerFooter>
  <colBreaks count="5" manualBreakCount="5">
    <brk id="9" max="72" man="1"/>
    <brk id="17" max="1048575" man="1"/>
    <brk id="25" max="1048575" man="1"/>
    <brk id="33" max="1048575" man="1"/>
    <brk id="41" max="72" man="1"/>
  </colBreaks>
  <ignoredErrors>
    <ignoredError sqref="B21:AN21 B27:AN27 B33:AN33 B37:AN37 B47:AN47 B59:AN59" formulaRange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2"/>
  <dimension ref="A1:HX51"/>
  <sheetViews>
    <sheetView showGridLines="0" zoomScaleNormal="100" workbookViewId="0">
      <pane xSplit="1" ySplit="8" topLeftCell="AV10" activePane="bottomRight" state="frozen"/>
      <selection activeCell="E9" sqref="E9"/>
      <selection pane="topRight" activeCell="E9" sqref="E9"/>
      <selection pane="bottomLeft" activeCell="E9" sqref="E9"/>
      <selection pane="bottomRight" activeCell="BD6" sqref="BD6"/>
    </sheetView>
  </sheetViews>
  <sheetFormatPr defaultColWidth="10.7109375" defaultRowHeight="15" customHeight="1" x14ac:dyDescent="0.2"/>
  <cols>
    <col min="1" max="1" width="83.28515625" style="228" customWidth="1"/>
    <col min="2" max="31" width="10.7109375" style="1" customWidth="1"/>
    <col min="32" max="32" width="10.7109375" style="8" customWidth="1"/>
    <col min="33" max="35" width="10.7109375" style="1"/>
    <col min="36" max="36" width="10.7109375" style="1" customWidth="1"/>
    <col min="37" max="40" width="10.7109375" style="1"/>
    <col min="41" max="41" width="10.7109375" style="1" customWidth="1"/>
    <col min="42" max="45" width="10.7109375" style="1"/>
    <col min="46" max="46" width="10.7109375" style="1" customWidth="1"/>
    <col min="47" max="50" width="10.7109375" style="1"/>
    <col min="51" max="56" width="10.7109375" style="1" customWidth="1"/>
    <col min="57" max="16384" width="10.7109375" style="1"/>
  </cols>
  <sheetData>
    <row r="1" spans="1:232" s="144" customFormat="1" ht="15" customHeight="1" x14ac:dyDescent="0.2">
      <c r="A1" s="139"/>
      <c r="B1" s="140"/>
      <c r="C1" s="140"/>
      <c r="D1" s="140"/>
      <c r="E1" s="140"/>
      <c r="F1" s="140"/>
      <c r="G1" s="141"/>
      <c r="H1" s="142"/>
      <c r="I1" s="140"/>
      <c r="J1" s="140"/>
      <c r="K1" s="140"/>
      <c r="L1" s="142"/>
      <c r="M1" s="142"/>
      <c r="N1" s="142"/>
      <c r="O1" s="142"/>
      <c r="P1" s="140"/>
      <c r="Q1" s="142"/>
      <c r="R1" s="142"/>
      <c r="S1" s="142"/>
      <c r="T1" s="142"/>
      <c r="U1" s="140"/>
      <c r="V1" s="142"/>
      <c r="W1" s="142"/>
      <c r="X1" s="142"/>
      <c r="Y1" s="142"/>
      <c r="Z1" s="140"/>
      <c r="AA1" s="142"/>
      <c r="AB1" s="142"/>
      <c r="AC1" s="142"/>
      <c r="AD1" s="142"/>
      <c r="AE1" s="140"/>
      <c r="AF1" s="142"/>
      <c r="AG1" s="142"/>
      <c r="AH1" s="142"/>
      <c r="AI1" s="142"/>
      <c r="AJ1" s="140"/>
      <c r="AK1" s="142"/>
      <c r="AL1" s="142"/>
      <c r="AM1" s="142"/>
      <c r="AN1" s="142"/>
      <c r="AO1" s="140"/>
      <c r="AP1" s="142"/>
      <c r="AQ1" s="142"/>
      <c r="AR1" s="142"/>
      <c r="AS1" s="142"/>
      <c r="AT1" s="140"/>
      <c r="AU1" s="142"/>
      <c r="AV1" s="142"/>
      <c r="AW1" s="142"/>
      <c r="AX1" s="142"/>
      <c r="AY1" s="140"/>
      <c r="AZ1" s="142"/>
      <c r="BA1" s="142"/>
      <c r="BB1" s="142"/>
      <c r="BC1" s="140"/>
      <c r="BD1" s="140"/>
      <c r="BE1" s="143"/>
      <c r="BF1" s="142"/>
      <c r="BG1" s="143"/>
      <c r="BH1" s="142"/>
      <c r="BI1" s="143"/>
      <c r="BJ1" s="142"/>
      <c r="BK1" s="143"/>
      <c r="BL1" s="142"/>
      <c r="BM1" s="143"/>
      <c r="BN1" s="142"/>
      <c r="BO1" s="143"/>
      <c r="BP1" s="142"/>
      <c r="BQ1" s="143"/>
      <c r="BR1" s="142"/>
      <c r="BS1" s="143"/>
      <c r="BT1" s="142"/>
      <c r="BU1" s="143"/>
      <c r="BV1" s="142"/>
      <c r="BW1" s="143"/>
      <c r="BX1" s="142"/>
      <c r="BY1" s="143"/>
      <c r="BZ1" s="142"/>
      <c r="CA1" s="143"/>
      <c r="CB1" s="142"/>
      <c r="CC1" s="143"/>
      <c r="CD1" s="142"/>
      <c r="CE1" s="143"/>
      <c r="CF1" s="142"/>
      <c r="CG1" s="143"/>
      <c r="CH1" s="142"/>
      <c r="CI1" s="143"/>
      <c r="CJ1" s="142"/>
      <c r="CK1" s="143"/>
      <c r="CL1" s="142"/>
      <c r="CM1" s="143"/>
      <c r="CN1" s="141"/>
      <c r="CO1" s="141"/>
      <c r="CP1" s="142"/>
      <c r="CQ1" s="143"/>
      <c r="CR1" s="140"/>
      <c r="CS1" s="140"/>
      <c r="CT1" s="140"/>
      <c r="CU1" s="140"/>
      <c r="CV1" s="140"/>
      <c r="CW1" s="143"/>
      <c r="CX1" s="140"/>
      <c r="CY1" s="143"/>
      <c r="CZ1" s="140"/>
      <c r="DA1" s="140"/>
      <c r="DB1" s="140"/>
      <c r="DC1" s="139"/>
      <c r="DD1" s="139"/>
      <c r="DE1" s="142"/>
      <c r="DF1" s="143"/>
      <c r="DG1" s="142"/>
      <c r="DH1" s="143"/>
      <c r="DI1" s="142"/>
      <c r="DJ1" s="143"/>
      <c r="DK1" s="142"/>
      <c r="DL1" s="143"/>
      <c r="DM1" s="142"/>
      <c r="DN1" s="143"/>
      <c r="DO1" s="142"/>
      <c r="DP1" s="143"/>
      <c r="DQ1" s="142"/>
      <c r="DR1" s="143"/>
      <c r="DS1" s="142"/>
      <c r="DT1" s="143"/>
      <c r="DU1" s="142"/>
      <c r="DV1" s="143"/>
      <c r="DW1" s="142"/>
      <c r="DX1" s="143"/>
      <c r="DY1" s="142"/>
      <c r="DZ1" s="143"/>
      <c r="EA1" s="142"/>
      <c r="EB1" s="143"/>
      <c r="EC1" s="142"/>
      <c r="ED1" s="143"/>
      <c r="EE1" s="142"/>
      <c r="EF1" s="143"/>
      <c r="EG1" s="142"/>
      <c r="EH1" s="143"/>
      <c r="EI1" s="142"/>
      <c r="EJ1" s="143"/>
      <c r="EK1" s="142"/>
      <c r="EL1" s="143"/>
      <c r="EM1" s="142"/>
      <c r="EN1" s="143"/>
      <c r="EO1" s="142"/>
      <c r="EP1" s="143"/>
      <c r="EQ1" s="142"/>
      <c r="ER1" s="143"/>
      <c r="ES1" s="141"/>
      <c r="ET1" s="141"/>
      <c r="EU1" s="142"/>
      <c r="EV1" s="143"/>
      <c r="EW1" s="140"/>
      <c r="EX1" s="140"/>
      <c r="EY1" s="140"/>
      <c r="EZ1" s="140"/>
      <c r="FA1" s="140"/>
      <c r="FB1" s="143"/>
      <c r="FC1" s="140"/>
      <c r="FD1" s="143"/>
      <c r="FE1" s="140"/>
      <c r="FF1" s="140"/>
      <c r="FG1" s="140"/>
      <c r="FH1" s="139"/>
      <c r="FI1" s="139"/>
      <c r="FJ1" s="142"/>
      <c r="FK1" s="143"/>
      <c r="FL1" s="142"/>
      <c r="FM1" s="143"/>
      <c r="FN1" s="142"/>
      <c r="FO1" s="143"/>
      <c r="FP1" s="142"/>
      <c r="FQ1" s="143"/>
      <c r="FR1" s="142"/>
      <c r="FS1" s="143"/>
      <c r="FT1" s="142"/>
      <c r="FU1" s="143"/>
      <c r="FV1" s="142"/>
      <c r="FW1" s="143"/>
      <c r="FX1" s="142"/>
      <c r="FY1" s="143"/>
      <c r="FZ1" s="142"/>
      <c r="GA1" s="143"/>
      <c r="GB1" s="142"/>
      <c r="GC1" s="143"/>
      <c r="GD1" s="142"/>
      <c r="GE1" s="143"/>
      <c r="GF1" s="142"/>
      <c r="GG1" s="143"/>
      <c r="GH1" s="142"/>
      <c r="GI1" s="143"/>
      <c r="GJ1" s="142"/>
      <c r="GK1" s="143"/>
      <c r="GL1" s="142"/>
      <c r="GM1" s="143"/>
      <c r="GN1" s="142"/>
      <c r="GO1" s="143"/>
      <c r="GP1" s="142"/>
      <c r="GQ1" s="143"/>
      <c r="GR1" s="142"/>
      <c r="GS1" s="143"/>
      <c r="GT1" s="142"/>
      <c r="GU1" s="143"/>
      <c r="GV1" s="142"/>
      <c r="GW1" s="143"/>
      <c r="GX1" s="141"/>
      <c r="GY1" s="141"/>
      <c r="GZ1" s="142"/>
      <c r="HA1" s="143"/>
      <c r="HB1" s="140"/>
      <c r="HC1" s="140"/>
      <c r="HD1" s="140"/>
      <c r="HE1" s="140"/>
      <c r="HF1" s="140"/>
      <c r="HG1" s="143"/>
      <c r="HH1" s="140"/>
      <c r="HI1" s="143"/>
      <c r="HJ1" s="140"/>
      <c r="HK1" s="140"/>
      <c r="HL1" s="140"/>
      <c r="HM1" s="139"/>
      <c r="HN1" s="139"/>
      <c r="HO1" s="142"/>
      <c r="HP1" s="143"/>
      <c r="HQ1" s="142"/>
      <c r="HR1" s="143"/>
      <c r="HS1" s="142"/>
      <c r="HT1" s="143"/>
      <c r="HU1" s="142"/>
      <c r="HV1" s="143"/>
      <c r="HW1" s="142"/>
      <c r="HX1" s="143"/>
    </row>
    <row r="2" spans="1:232" s="144" customFormat="1" ht="15" customHeight="1" x14ac:dyDescent="0.2">
      <c r="A2" s="139"/>
      <c r="B2" s="140"/>
      <c r="C2" s="140"/>
      <c r="D2" s="140"/>
      <c r="E2" s="140"/>
      <c r="F2" s="140"/>
      <c r="G2" s="141"/>
      <c r="H2" s="142"/>
      <c r="I2" s="140"/>
      <c r="J2" s="140"/>
      <c r="K2" s="140"/>
      <c r="L2" s="142"/>
      <c r="M2" s="142"/>
      <c r="N2" s="142"/>
      <c r="O2" s="142"/>
      <c r="P2" s="140"/>
      <c r="Q2" s="142"/>
      <c r="R2" s="142"/>
      <c r="S2" s="142"/>
      <c r="T2" s="142"/>
      <c r="U2" s="140"/>
      <c r="V2" s="142"/>
      <c r="W2" s="142"/>
      <c r="X2" s="142"/>
      <c r="Y2" s="142"/>
      <c r="Z2" s="140"/>
      <c r="AA2" s="142"/>
      <c r="AB2" s="142"/>
      <c r="AC2" s="142"/>
      <c r="AD2" s="142"/>
      <c r="AE2" s="140"/>
      <c r="AF2" s="142"/>
      <c r="AG2" s="142"/>
      <c r="AH2" s="142"/>
      <c r="AI2" s="142"/>
      <c r="AJ2" s="140"/>
      <c r="AK2" s="142"/>
      <c r="AL2" s="142"/>
      <c r="AM2" s="142"/>
      <c r="AN2" s="142"/>
      <c r="AO2" s="140"/>
      <c r="AP2" s="142"/>
      <c r="AQ2" s="142"/>
      <c r="AR2" s="142"/>
      <c r="AS2" s="142"/>
      <c r="AT2" s="140"/>
      <c r="AU2" s="142"/>
      <c r="AV2" s="142"/>
      <c r="AW2" s="142"/>
      <c r="AX2" s="142"/>
      <c r="AY2" s="140"/>
      <c r="AZ2" s="142"/>
      <c r="BA2" s="142"/>
      <c r="BB2" s="142"/>
      <c r="BC2" s="140"/>
      <c r="BD2" s="140"/>
      <c r="BE2" s="143"/>
      <c r="BF2" s="142"/>
      <c r="BG2" s="143"/>
      <c r="BH2" s="142"/>
      <c r="BI2" s="143"/>
      <c r="BJ2" s="142"/>
      <c r="BK2" s="143"/>
      <c r="BL2" s="142"/>
      <c r="BM2" s="143"/>
      <c r="BN2" s="142"/>
      <c r="BO2" s="143"/>
      <c r="BP2" s="142"/>
      <c r="BQ2" s="143"/>
      <c r="BR2" s="142"/>
      <c r="BS2" s="143"/>
      <c r="BT2" s="142"/>
      <c r="BU2" s="143"/>
      <c r="BV2" s="142"/>
      <c r="BW2" s="143"/>
      <c r="BX2" s="142"/>
      <c r="BY2" s="143"/>
      <c r="BZ2" s="142"/>
      <c r="CA2" s="143"/>
      <c r="CB2" s="142"/>
      <c r="CC2" s="143"/>
      <c r="CD2" s="142"/>
      <c r="CE2" s="143"/>
      <c r="CF2" s="142"/>
      <c r="CG2" s="143"/>
      <c r="CH2" s="142"/>
      <c r="CI2" s="143"/>
      <c r="CJ2" s="142"/>
      <c r="CK2" s="143"/>
      <c r="CL2" s="142"/>
      <c r="CM2" s="143"/>
      <c r="CN2" s="141"/>
      <c r="CO2" s="141"/>
      <c r="CP2" s="142"/>
      <c r="CQ2" s="143"/>
      <c r="CR2" s="140"/>
      <c r="CS2" s="140"/>
      <c r="CT2" s="140"/>
      <c r="CU2" s="140"/>
      <c r="CV2" s="140"/>
      <c r="CW2" s="143"/>
      <c r="CX2" s="140"/>
      <c r="CY2" s="143"/>
      <c r="CZ2" s="140"/>
      <c r="DA2" s="140"/>
      <c r="DB2" s="140"/>
      <c r="DC2" s="139"/>
      <c r="DD2" s="139"/>
      <c r="DE2" s="142"/>
      <c r="DF2" s="143"/>
      <c r="DG2" s="142"/>
      <c r="DH2" s="143"/>
      <c r="DI2" s="142"/>
      <c r="DJ2" s="143"/>
      <c r="DK2" s="142"/>
      <c r="DL2" s="143"/>
      <c r="DM2" s="142"/>
      <c r="DN2" s="143"/>
      <c r="DO2" s="142"/>
      <c r="DP2" s="143"/>
      <c r="DQ2" s="142"/>
      <c r="DR2" s="143"/>
      <c r="DS2" s="142"/>
      <c r="DT2" s="143"/>
      <c r="DU2" s="142"/>
      <c r="DV2" s="143"/>
      <c r="DW2" s="142"/>
      <c r="DX2" s="143"/>
      <c r="DY2" s="142"/>
      <c r="DZ2" s="143"/>
      <c r="EA2" s="142"/>
      <c r="EB2" s="143"/>
      <c r="EC2" s="142"/>
      <c r="ED2" s="143"/>
      <c r="EE2" s="142"/>
      <c r="EF2" s="143"/>
      <c r="EG2" s="142"/>
      <c r="EH2" s="143"/>
      <c r="EI2" s="142"/>
      <c r="EJ2" s="143"/>
      <c r="EK2" s="142"/>
      <c r="EL2" s="143"/>
      <c r="EM2" s="142"/>
      <c r="EN2" s="143"/>
      <c r="EO2" s="142"/>
      <c r="EP2" s="143"/>
      <c r="EQ2" s="142"/>
      <c r="ER2" s="143"/>
      <c r="ES2" s="141"/>
      <c r="ET2" s="141"/>
      <c r="EU2" s="142"/>
      <c r="EV2" s="143"/>
      <c r="EW2" s="140"/>
      <c r="EX2" s="140"/>
      <c r="EY2" s="140"/>
      <c r="EZ2" s="140"/>
      <c r="FA2" s="140"/>
      <c r="FB2" s="143"/>
      <c r="FC2" s="140"/>
      <c r="FD2" s="143"/>
      <c r="FE2" s="140"/>
      <c r="FF2" s="140"/>
      <c r="FG2" s="140"/>
      <c r="FH2" s="139"/>
      <c r="FI2" s="139"/>
      <c r="FJ2" s="142"/>
      <c r="FK2" s="143"/>
      <c r="FL2" s="142"/>
      <c r="FM2" s="143"/>
      <c r="FN2" s="142"/>
      <c r="FO2" s="143"/>
      <c r="FP2" s="142"/>
      <c r="FQ2" s="143"/>
      <c r="FR2" s="142"/>
      <c r="FS2" s="143"/>
      <c r="FT2" s="142"/>
      <c r="FU2" s="143"/>
      <c r="FV2" s="142"/>
      <c r="FW2" s="143"/>
      <c r="FX2" s="142"/>
      <c r="FY2" s="143"/>
      <c r="FZ2" s="142"/>
      <c r="GA2" s="143"/>
      <c r="GB2" s="142"/>
      <c r="GC2" s="143"/>
      <c r="GD2" s="142"/>
      <c r="GE2" s="143"/>
      <c r="GF2" s="142"/>
      <c r="GG2" s="143"/>
      <c r="GH2" s="142"/>
      <c r="GI2" s="143"/>
      <c r="GJ2" s="142"/>
      <c r="GK2" s="143"/>
      <c r="GL2" s="142"/>
      <c r="GM2" s="143"/>
      <c r="GN2" s="142"/>
      <c r="GO2" s="143"/>
      <c r="GP2" s="142"/>
      <c r="GQ2" s="143"/>
      <c r="GR2" s="142"/>
      <c r="GS2" s="143"/>
      <c r="GT2" s="142"/>
      <c r="GU2" s="143"/>
      <c r="GV2" s="142"/>
      <c r="GW2" s="143"/>
      <c r="GX2" s="141"/>
      <c r="GY2" s="141"/>
      <c r="GZ2" s="142"/>
      <c r="HA2" s="143"/>
      <c r="HB2" s="140"/>
      <c r="HC2" s="140"/>
      <c r="HD2" s="140"/>
      <c r="HE2" s="140"/>
      <c r="HF2" s="140"/>
      <c r="HG2" s="143"/>
      <c r="HH2" s="140"/>
      <c r="HI2" s="143"/>
      <c r="HJ2" s="140"/>
      <c r="HK2" s="140"/>
      <c r="HL2" s="140"/>
      <c r="HM2" s="139"/>
      <c r="HN2" s="139"/>
      <c r="HO2" s="142"/>
      <c r="HP2" s="143"/>
      <c r="HQ2" s="142"/>
      <c r="HR2" s="143"/>
      <c r="HS2" s="142"/>
      <c r="HT2" s="143"/>
      <c r="HU2" s="142"/>
      <c r="HV2" s="143"/>
      <c r="HW2" s="142"/>
      <c r="HX2" s="143"/>
    </row>
    <row r="3" spans="1:232" s="144" customFormat="1" ht="15" customHeight="1" x14ac:dyDescent="0.2">
      <c r="A3" s="139"/>
      <c r="B3" s="140"/>
      <c r="C3" s="140"/>
      <c r="D3" s="140"/>
      <c r="E3" s="140"/>
      <c r="F3" s="140"/>
      <c r="G3" s="141"/>
      <c r="H3" s="142"/>
      <c r="I3" s="140"/>
      <c r="J3" s="140"/>
      <c r="K3" s="140"/>
      <c r="L3" s="142"/>
      <c r="M3" s="142"/>
      <c r="N3" s="142"/>
      <c r="O3" s="142"/>
      <c r="P3" s="140"/>
      <c r="Q3" s="142"/>
      <c r="R3" s="142"/>
      <c r="S3" s="142"/>
      <c r="T3" s="142"/>
      <c r="U3" s="140"/>
      <c r="V3" s="142"/>
      <c r="W3" s="142"/>
      <c r="X3" s="142"/>
      <c r="Y3" s="142"/>
      <c r="Z3" s="140"/>
      <c r="AA3" s="142"/>
      <c r="AB3" s="142"/>
      <c r="AC3" s="142"/>
      <c r="AD3" s="142"/>
      <c r="AE3" s="140"/>
      <c r="AF3" s="142"/>
      <c r="AG3" s="142"/>
      <c r="AH3" s="142"/>
      <c r="AI3" s="142"/>
      <c r="AJ3" s="140"/>
      <c r="AK3" s="142"/>
      <c r="AL3" s="142"/>
      <c r="AM3" s="142"/>
      <c r="AN3" s="142"/>
      <c r="AO3" s="140"/>
      <c r="AP3" s="142"/>
      <c r="AQ3" s="142"/>
      <c r="AR3" s="142"/>
      <c r="AS3" s="142"/>
      <c r="AT3" s="140"/>
      <c r="AU3" s="142"/>
      <c r="AV3" s="142"/>
      <c r="AW3" s="142"/>
      <c r="AX3" s="142"/>
      <c r="AY3" s="140"/>
      <c r="AZ3" s="142"/>
      <c r="BA3" s="142"/>
      <c r="BB3" s="142"/>
      <c r="BC3" s="140"/>
      <c r="BD3" s="140"/>
      <c r="BE3" s="143"/>
      <c r="BF3" s="142"/>
      <c r="BG3" s="143"/>
      <c r="BH3" s="142"/>
      <c r="BI3" s="143"/>
      <c r="BJ3" s="142"/>
      <c r="BK3" s="143"/>
      <c r="BL3" s="142"/>
      <c r="BM3" s="143"/>
      <c r="BN3" s="142"/>
      <c r="BO3" s="143"/>
      <c r="BP3" s="142"/>
      <c r="BQ3" s="143"/>
      <c r="BR3" s="142"/>
      <c r="BS3" s="143"/>
      <c r="BT3" s="142"/>
      <c r="BU3" s="143"/>
      <c r="BV3" s="142"/>
      <c r="BW3" s="143"/>
      <c r="BX3" s="142"/>
      <c r="BY3" s="143"/>
      <c r="BZ3" s="142"/>
      <c r="CA3" s="143"/>
      <c r="CB3" s="142"/>
      <c r="CC3" s="143"/>
      <c r="CD3" s="142"/>
      <c r="CE3" s="143"/>
      <c r="CF3" s="142"/>
      <c r="CG3" s="143"/>
      <c r="CH3" s="142"/>
      <c r="CI3" s="143"/>
      <c r="CJ3" s="142"/>
      <c r="CK3" s="143"/>
      <c r="CL3" s="142"/>
      <c r="CM3" s="143"/>
      <c r="CN3" s="141"/>
      <c r="CO3" s="141"/>
      <c r="CP3" s="142"/>
      <c r="CQ3" s="143"/>
      <c r="CR3" s="140"/>
      <c r="CS3" s="140"/>
      <c r="CT3" s="140"/>
      <c r="CU3" s="140"/>
      <c r="CV3" s="140"/>
      <c r="CW3" s="143"/>
      <c r="CX3" s="140"/>
      <c r="CY3" s="143"/>
      <c r="CZ3" s="140"/>
      <c r="DA3" s="140"/>
      <c r="DB3" s="140"/>
      <c r="DC3" s="139"/>
      <c r="DD3" s="139"/>
      <c r="DE3" s="142"/>
      <c r="DF3" s="143"/>
      <c r="DG3" s="142"/>
      <c r="DH3" s="143"/>
      <c r="DI3" s="142"/>
      <c r="DJ3" s="143"/>
      <c r="DK3" s="142"/>
      <c r="DL3" s="143"/>
      <c r="DM3" s="142"/>
      <c r="DN3" s="143"/>
      <c r="DO3" s="142"/>
      <c r="DP3" s="143"/>
      <c r="DQ3" s="142"/>
      <c r="DR3" s="143"/>
      <c r="DS3" s="142"/>
      <c r="DT3" s="143"/>
      <c r="DU3" s="142"/>
      <c r="DV3" s="143"/>
      <c r="DW3" s="142"/>
      <c r="DX3" s="143"/>
      <c r="DY3" s="142"/>
      <c r="DZ3" s="143"/>
      <c r="EA3" s="142"/>
      <c r="EB3" s="143"/>
      <c r="EC3" s="142"/>
      <c r="ED3" s="143"/>
      <c r="EE3" s="142"/>
      <c r="EF3" s="143"/>
      <c r="EG3" s="142"/>
      <c r="EH3" s="143"/>
      <c r="EI3" s="142"/>
      <c r="EJ3" s="143"/>
      <c r="EK3" s="142"/>
      <c r="EL3" s="143"/>
      <c r="EM3" s="142"/>
      <c r="EN3" s="143"/>
      <c r="EO3" s="142"/>
      <c r="EP3" s="143"/>
      <c r="EQ3" s="142"/>
      <c r="ER3" s="143"/>
      <c r="ES3" s="141"/>
      <c r="ET3" s="141"/>
      <c r="EU3" s="142"/>
      <c r="EV3" s="143"/>
      <c r="EW3" s="140"/>
      <c r="EX3" s="140"/>
      <c r="EY3" s="140"/>
      <c r="EZ3" s="140"/>
      <c r="FA3" s="140"/>
      <c r="FB3" s="143"/>
      <c r="FC3" s="140"/>
      <c r="FD3" s="143"/>
      <c r="FE3" s="140"/>
      <c r="FF3" s="140"/>
      <c r="FG3" s="140"/>
      <c r="FH3" s="139"/>
      <c r="FI3" s="139"/>
      <c r="FJ3" s="142"/>
      <c r="FK3" s="143"/>
      <c r="FL3" s="142"/>
      <c r="FM3" s="143"/>
      <c r="FN3" s="142"/>
      <c r="FO3" s="143"/>
      <c r="FP3" s="142"/>
      <c r="FQ3" s="143"/>
      <c r="FR3" s="142"/>
      <c r="FS3" s="143"/>
      <c r="FT3" s="142"/>
      <c r="FU3" s="143"/>
      <c r="FV3" s="142"/>
      <c r="FW3" s="143"/>
      <c r="FX3" s="142"/>
      <c r="FY3" s="143"/>
      <c r="FZ3" s="142"/>
      <c r="GA3" s="143"/>
      <c r="GB3" s="142"/>
      <c r="GC3" s="143"/>
      <c r="GD3" s="142"/>
      <c r="GE3" s="143"/>
      <c r="GF3" s="142"/>
      <c r="GG3" s="143"/>
      <c r="GH3" s="142"/>
      <c r="GI3" s="143"/>
      <c r="GJ3" s="142"/>
      <c r="GK3" s="143"/>
      <c r="GL3" s="142"/>
      <c r="GM3" s="143"/>
      <c r="GN3" s="142"/>
      <c r="GO3" s="143"/>
      <c r="GP3" s="142"/>
      <c r="GQ3" s="143"/>
      <c r="GR3" s="142"/>
      <c r="GS3" s="143"/>
      <c r="GT3" s="142"/>
      <c r="GU3" s="143"/>
      <c r="GV3" s="142"/>
      <c r="GW3" s="143"/>
      <c r="GX3" s="141"/>
      <c r="GY3" s="141"/>
      <c r="GZ3" s="142"/>
      <c r="HA3" s="143"/>
      <c r="HB3" s="140"/>
      <c r="HC3" s="140"/>
      <c r="HD3" s="140"/>
      <c r="HE3" s="140"/>
      <c r="HF3" s="140"/>
      <c r="HG3" s="143"/>
      <c r="HH3" s="140"/>
      <c r="HI3" s="143"/>
      <c r="HJ3" s="140"/>
      <c r="HK3" s="140"/>
      <c r="HL3" s="140"/>
      <c r="HM3" s="139"/>
      <c r="HN3" s="139"/>
      <c r="HO3" s="142"/>
      <c r="HP3" s="143"/>
      <c r="HQ3" s="142"/>
      <c r="HR3" s="143"/>
      <c r="HS3" s="142"/>
      <c r="HT3" s="143"/>
      <c r="HU3" s="142"/>
      <c r="HV3" s="143"/>
      <c r="HW3" s="142"/>
      <c r="HX3" s="143"/>
    </row>
    <row r="4" spans="1:232" s="144" customFormat="1" ht="15" customHeight="1" x14ac:dyDescent="0.2">
      <c r="A4" s="145"/>
      <c r="B4" s="146"/>
      <c r="C4" s="146"/>
      <c r="D4" s="146"/>
      <c r="E4" s="146"/>
      <c r="F4" s="146"/>
      <c r="G4" s="147"/>
      <c r="H4" s="148"/>
      <c r="I4" s="146"/>
      <c r="J4" s="146"/>
      <c r="K4" s="146"/>
      <c r="L4" s="148"/>
      <c r="M4" s="148"/>
      <c r="N4" s="148"/>
      <c r="O4" s="148"/>
      <c r="P4" s="146"/>
      <c r="Q4" s="148"/>
      <c r="R4" s="148"/>
      <c r="S4" s="148"/>
      <c r="T4" s="148"/>
      <c r="U4" s="146"/>
      <c r="V4" s="148"/>
      <c r="W4" s="148"/>
      <c r="X4" s="148"/>
      <c r="Y4" s="148"/>
      <c r="Z4" s="146"/>
      <c r="AA4" s="148"/>
      <c r="AB4" s="148"/>
      <c r="AC4" s="148"/>
      <c r="AD4" s="148"/>
      <c r="AE4" s="146"/>
      <c r="AF4" s="148"/>
      <c r="AG4" s="148"/>
      <c r="AH4" s="148"/>
      <c r="AI4" s="148"/>
      <c r="AJ4" s="146"/>
      <c r="AK4" s="148"/>
      <c r="AL4" s="148"/>
      <c r="AM4" s="148"/>
      <c r="AN4" s="148"/>
      <c r="AO4" s="146"/>
      <c r="AP4" s="149"/>
      <c r="AQ4" s="149"/>
      <c r="AR4" s="149"/>
      <c r="AS4" s="150"/>
      <c r="AT4" s="146"/>
      <c r="AU4" s="150"/>
      <c r="AV4" s="150"/>
      <c r="AW4" s="150"/>
      <c r="AX4" s="150"/>
      <c r="AY4" s="146"/>
      <c r="AZ4" s="150"/>
      <c r="BA4" s="150"/>
      <c r="BB4" s="150"/>
      <c r="BC4" s="146"/>
      <c r="BD4" s="146"/>
    </row>
    <row r="5" spans="1:232" s="178" customFormat="1" ht="17.100000000000001" customHeight="1" thickBot="1" x14ac:dyDescent="0.25">
      <c r="A5" s="707" t="s">
        <v>673</v>
      </c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180"/>
      <c r="Q5" s="180"/>
      <c r="R5" s="180"/>
      <c r="S5" s="180"/>
      <c r="T5" s="180"/>
      <c r="U5" s="180"/>
      <c r="V5" s="180"/>
      <c r="W5" s="180"/>
      <c r="X5" s="180"/>
      <c r="Y5" s="180"/>
      <c r="Z5" s="180"/>
      <c r="AA5" s="180"/>
      <c r="AB5" s="180"/>
      <c r="AC5" s="180"/>
      <c r="AD5" s="180"/>
      <c r="AE5" s="180"/>
      <c r="AF5" s="180"/>
      <c r="AG5" s="180"/>
      <c r="AH5" s="180"/>
      <c r="AI5" s="180"/>
      <c r="AJ5" s="180"/>
      <c r="AK5" s="180"/>
      <c r="AL5" s="180"/>
      <c r="AM5" s="180"/>
      <c r="AN5" s="180"/>
      <c r="AO5" s="180"/>
      <c r="AP5" s="180"/>
      <c r="AQ5" s="180"/>
      <c r="AR5" s="180"/>
      <c r="AS5" s="180"/>
      <c r="AT5" s="180"/>
      <c r="AU5" s="181"/>
      <c r="AV5" s="181"/>
      <c r="AW5" s="181"/>
      <c r="AX5" s="181"/>
      <c r="AY5" s="180"/>
      <c r="AZ5" s="181"/>
      <c r="BA5" s="181"/>
      <c r="BB5" s="181"/>
      <c r="BC5" s="180"/>
      <c r="BD5" s="180"/>
    </row>
    <row r="6" spans="1:232" s="164" customFormat="1" ht="15" customHeight="1" thickTop="1" x14ac:dyDescent="0.2">
      <c r="A6" s="151"/>
      <c r="B6" s="151"/>
      <c r="C6" s="151"/>
      <c r="D6" s="151"/>
      <c r="E6" s="151"/>
      <c r="F6" s="151"/>
      <c r="G6" s="151"/>
      <c r="H6" s="151"/>
      <c r="I6" s="151"/>
      <c r="J6" s="151"/>
      <c r="K6" s="151"/>
      <c r="L6" s="151"/>
      <c r="M6" s="151"/>
      <c r="N6" s="151"/>
      <c r="O6" s="151"/>
      <c r="P6" s="151"/>
      <c r="Q6" s="151"/>
      <c r="R6" s="151"/>
      <c r="S6" s="151"/>
      <c r="T6" s="151"/>
      <c r="U6" s="151"/>
      <c r="V6" s="151"/>
      <c r="W6" s="151"/>
      <c r="X6" s="151"/>
      <c r="Y6" s="151"/>
      <c r="Z6" s="151"/>
      <c r="AA6" s="151"/>
      <c r="AB6" s="151"/>
      <c r="AC6" s="151"/>
      <c r="AD6" s="151"/>
      <c r="AE6" s="151"/>
      <c r="AF6" s="151"/>
      <c r="AG6" s="151"/>
      <c r="AH6" s="151"/>
      <c r="AI6" s="151"/>
      <c r="AJ6" s="151"/>
      <c r="AK6" s="151"/>
      <c r="AL6" s="151"/>
      <c r="AM6" s="151"/>
      <c r="AN6" s="151"/>
      <c r="AO6" s="151"/>
      <c r="AP6" s="151"/>
      <c r="AQ6" s="151"/>
      <c r="AR6" s="151"/>
      <c r="AS6" s="151"/>
      <c r="AT6" s="151"/>
      <c r="AU6" s="151"/>
      <c r="AV6" s="151"/>
      <c r="AW6" s="151"/>
      <c r="AX6" s="151"/>
      <c r="AY6" s="400"/>
      <c r="AZ6" s="151"/>
      <c r="BA6" s="151"/>
      <c r="BB6" s="151"/>
      <c r="BC6" s="400"/>
      <c r="BD6" s="400" t="s">
        <v>662</v>
      </c>
    </row>
    <row r="7" spans="1:232" s="183" customFormat="1" ht="15" customHeight="1" x14ac:dyDescent="0.2">
      <c r="A7" s="182"/>
      <c r="B7" s="156" t="s">
        <v>401</v>
      </c>
      <c r="C7" s="156" t="s">
        <v>402</v>
      </c>
      <c r="D7" s="156" t="s">
        <v>403</v>
      </c>
      <c r="E7" s="156" t="s">
        <v>404</v>
      </c>
      <c r="F7" s="156" t="s">
        <v>439</v>
      </c>
      <c r="G7" s="156" t="s">
        <v>405</v>
      </c>
      <c r="H7" s="156" t="s">
        <v>406</v>
      </c>
      <c r="I7" s="156" t="s">
        <v>407</v>
      </c>
      <c r="J7" s="156" t="s">
        <v>408</v>
      </c>
      <c r="K7" s="664" t="s">
        <v>440</v>
      </c>
      <c r="L7" s="156" t="s">
        <v>409</v>
      </c>
      <c r="M7" s="156" t="s">
        <v>410</v>
      </c>
      <c r="N7" s="156" t="s">
        <v>411</v>
      </c>
      <c r="O7" s="156" t="s">
        <v>412</v>
      </c>
      <c r="P7" s="664" t="s">
        <v>441</v>
      </c>
      <c r="Q7" s="156" t="s">
        <v>413</v>
      </c>
      <c r="R7" s="156" t="s">
        <v>414</v>
      </c>
      <c r="S7" s="156" t="s">
        <v>415</v>
      </c>
      <c r="T7" s="156" t="s">
        <v>416</v>
      </c>
      <c r="U7" s="664" t="s">
        <v>442</v>
      </c>
      <c r="V7" s="156" t="s">
        <v>417</v>
      </c>
      <c r="W7" s="156" t="s">
        <v>418</v>
      </c>
      <c r="X7" s="156" t="s">
        <v>419</v>
      </c>
      <c r="Y7" s="156" t="s">
        <v>420</v>
      </c>
      <c r="Z7" s="156" t="s">
        <v>443</v>
      </c>
      <c r="AA7" s="156" t="s">
        <v>421</v>
      </c>
      <c r="AB7" s="156" t="s">
        <v>422</v>
      </c>
      <c r="AC7" s="156" t="s">
        <v>423</v>
      </c>
      <c r="AD7" s="156" t="s">
        <v>424</v>
      </c>
      <c r="AE7" s="156" t="s">
        <v>444</v>
      </c>
      <c r="AF7" s="156" t="s">
        <v>425</v>
      </c>
      <c r="AG7" s="156" t="s">
        <v>426</v>
      </c>
      <c r="AH7" s="156" t="s">
        <v>427</v>
      </c>
      <c r="AI7" s="156" t="s">
        <v>428</v>
      </c>
      <c r="AJ7" s="156" t="s">
        <v>445</v>
      </c>
      <c r="AK7" s="156" t="s">
        <v>429</v>
      </c>
      <c r="AL7" s="156" t="s">
        <v>430</v>
      </c>
      <c r="AM7" s="156" t="s">
        <v>431</v>
      </c>
      <c r="AN7" s="156" t="s">
        <v>432</v>
      </c>
      <c r="AO7" s="156" t="s">
        <v>446</v>
      </c>
      <c r="AP7" s="156" t="s">
        <v>433</v>
      </c>
      <c r="AQ7" s="156" t="s">
        <v>434</v>
      </c>
      <c r="AR7" s="156" t="s">
        <v>400</v>
      </c>
      <c r="AS7" s="156" t="s">
        <v>435</v>
      </c>
      <c r="AT7" s="156" t="s">
        <v>447</v>
      </c>
      <c r="AU7" s="156" t="s">
        <v>436</v>
      </c>
      <c r="AV7" s="156" t="s">
        <v>437</v>
      </c>
      <c r="AW7" s="156" t="s">
        <v>438</v>
      </c>
      <c r="AX7" s="414" t="s">
        <v>450</v>
      </c>
      <c r="AY7" s="416" t="s">
        <v>448</v>
      </c>
      <c r="AZ7" s="416" t="s">
        <v>451</v>
      </c>
      <c r="BA7" s="546" t="s">
        <v>452</v>
      </c>
      <c r="BB7" s="591" t="s">
        <v>453</v>
      </c>
      <c r="BC7" s="664" t="s">
        <v>454</v>
      </c>
      <c r="BD7" s="414" t="s">
        <v>449</v>
      </c>
    </row>
    <row r="8" spans="1:232" s="149" customFormat="1" ht="9.9499999999999993" customHeight="1" x14ac:dyDescent="0.2">
      <c r="A8" s="184"/>
      <c r="B8" s="158"/>
      <c r="C8" s="158"/>
      <c r="D8" s="158"/>
      <c r="E8" s="158"/>
      <c r="F8" s="158"/>
      <c r="G8" s="158"/>
      <c r="H8" s="158"/>
      <c r="I8" s="158"/>
      <c r="J8" s="158"/>
      <c r="K8" s="158"/>
      <c r="L8" s="158"/>
      <c r="M8" s="158"/>
      <c r="N8" s="158"/>
      <c r="O8" s="158"/>
      <c r="P8" s="158"/>
      <c r="Q8" s="158"/>
      <c r="R8" s="158"/>
      <c r="S8" s="158"/>
      <c r="T8" s="158"/>
      <c r="U8" s="158"/>
      <c r="V8" s="158"/>
      <c r="W8" s="158"/>
      <c r="X8" s="158"/>
      <c r="Y8" s="158"/>
      <c r="Z8" s="158"/>
      <c r="AA8" s="158"/>
      <c r="AB8" s="158"/>
      <c r="AC8" s="158"/>
      <c r="AD8" s="158"/>
      <c r="AE8" s="158"/>
      <c r="AF8" s="158"/>
      <c r="AG8" s="158"/>
      <c r="AH8" s="158"/>
      <c r="AI8" s="158"/>
      <c r="AJ8" s="158"/>
      <c r="AK8" s="158"/>
      <c r="AL8" s="158"/>
      <c r="AM8" s="158"/>
      <c r="AN8" s="158"/>
      <c r="AO8" s="158"/>
      <c r="AP8" s="158"/>
      <c r="AQ8" s="158"/>
      <c r="AR8" s="158"/>
      <c r="AS8" s="158"/>
      <c r="AT8" s="158"/>
      <c r="AU8" s="158"/>
      <c r="AV8" s="158"/>
      <c r="AW8" s="158"/>
      <c r="AX8" s="158"/>
      <c r="AY8" s="158"/>
      <c r="AZ8" s="158"/>
      <c r="BA8" s="158"/>
      <c r="BB8" s="158"/>
      <c r="BC8" s="158"/>
      <c r="BD8" s="158"/>
    </row>
    <row r="9" spans="1:232" s="164" customFormat="1" ht="5.0999999999999996" customHeight="1" x14ac:dyDescent="0.2">
      <c r="A9" s="159"/>
      <c r="B9" s="159"/>
      <c r="C9" s="159"/>
      <c r="D9" s="159"/>
      <c r="E9" s="159"/>
      <c r="F9" s="160"/>
      <c r="G9" s="159"/>
      <c r="H9" s="159"/>
      <c r="I9" s="159"/>
      <c r="J9" s="159"/>
      <c r="K9" s="160"/>
      <c r="L9" s="159"/>
      <c r="M9" s="159"/>
      <c r="N9" s="159"/>
      <c r="O9" s="159"/>
      <c r="P9" s="160"/>
      <c r="Q9" s="159"/>
      <c r="R9" s="159"/>
      <c r="S9" s="159"/>
      <c r="T9" s="159"/>
      <c r="U9" s="160"/>
      <c r="V9" s="159"/>
      <c r="W9" s="159"/>
      <c r="X9" s="159"/>
      <c r="Y9" s="159"/>
      <c r="Z9" s="160"/>
      <c r="AA9" s="159"/>
      <c r="AB9" s="159"/>
      <c r="AC9" s="159"/>
      <c r="AD9" s="159"/>
      <c r="AE9" s="160"/>
      <c r="AF9" s="159"/>
      <c r="AG9" s="159"/>
      <c r="AH9" s="159"/>
      <c r="AI9" s="159"/>
      <c r="AJ9" s="160"/>
      <c r="AK9" s="159"/>
      <c r="AL9" s="159"/>
      <c r="AM9" s="159"/>
      <c r="AN9" s="159"/>
      <c r="AO9" s="160"/>
      <c r="AP9" s="159"/>
      <c r="AQ9" s="159"/>
      <c r="AR9" s="159"/>
      <c r="AS9" s="159"/>
      <c r="AT9" s="159"/>
      <c r="AU9" s="159"/>
      <c r="AV9" s="159"/>
      <c r="AW9" s="159"/>
      <c r="AX9" s="159"/>
      <c r="AY9" s="159"/>
      <c r="AZ9" s="159"/>
      <c r="BA9" s="159"/>
      <c r="BB9" s="159"/>
      <c r="BC9" s="159"/>
      <c r="BD9" s="159"/>
    </row>
    <row r="10" spans="1:232" s="164" customFormat="1" ht="15" customHeight="1" x14ac:dyDescent="0.2">
      <c r="A10" s="229" t="s">
        <v>598</v>
      </c>
      <c r="B10" s="160">
        <v>4562</v>
      </c>
      <c r="C10" s="160">
        <v>5177</v>
      </c>
      <c r="D10" s="160">
        <v>5144</v>
      </c>
      <c r="E10" s="160">
        <v>5492</v>
      </c>
      <c r="F10" s="568">
        <v>20375</v>
      </c>
      <c r="G10" s="160">
        <v>5586</v>
      </c>
      <c r="H10" s="160">
        <v>5959</v>
      </c>
      <c r="I10" s="160">
        <v>5674</v>
      </c>
      <c r="J10" s="160">
        <v>5924</v>
      </c>
      <c r="K10" s="568">
        <v>23143</v>
      </c>
      <c r="L10" s="160">
        <v>7115</v>
      </c>
      <c r="M10" s="160">
        <v>7560</v>
      </c>
      <c r="N10" s="160">
        <v>7587</v>
      </c>
      <c r="O10" s="160">
        <v>7492</v>
      </c>
      <c r="P10" s="568">
        <v>29754</v>
      </c>
      <c r="Q10" s="160">
        <v>7689</v>
      </c>
      <c r="R10" s="160">
        <v>8047</v>
      </c>
      <c r="S10" s="160">
        <v>8302</v>
      </c>
      <c r="T10" s="160">
        <v>9018</v>
      </c>
      <c r="U10" s="568">
        <v>33056</v>
      </c>
      <c r="V10" s="160">
        <v>9362</v>
      </c>
      <c r="W10" s="160">
        <v>9471</v>
      </c>
      <c r="X10" s="160">
        <v>10230</v>
      </c>
      <c r="Y10" s="160">
        <v>10258</v>
      </c>
      <c r="Z10" s="568">
        <v>39321</v>
      </c>
      <c r="AA10" s="160">
        <v>10695</v>
      </c>
      <c r="AB10" s="160">
        <v>11034</v>
      </c>
      <c r="AC10" s="160">
        <v>10955</v>
      </c>
      <c r="AD10" s="160">
        <v>11109</v>
      </c>
      <c r="AE10" s="568">
        <v>43793</v>
      </c>
      <c r="AF10" s="160">
        <v>10706</v>
      </c>
      <c r="AG10" s="160">
        <v>10587</v>
      </c>
      <c r="AH10" s="160">
        <v>10729</v>
      </c>
      <c r="AI10" s="160">
        <v>11264</v>
      </c>
      <c r="AJ10" s="568">
        <v>43286</v>
      </c>
      <c r="AK10" s="160">
        <v>10962</v>
      </c>
      <c r="AL10" s="160">
        <v>12066</v>
      </c>
      <c r="AM10" s="160">
        <v>12281</v>
      </c>
      <c r="AN10" s="160">
        <v>12986</v>
      </c>
      <c r="AO10" s="568">
        <v>48295</v>
      </c>
      <c r="AP10" s="160">
        <v>13599</v>
      </c>
      <c r="AQ10" s="160">
        <v>13541</v>
      </c>
      <c r="AR10" s="160">
        <v>13735</v>
      </c>
      <c r="AS10" s="160">
        <v>14512</v>
      </c>
      <c r="AT10" s="568">
        <v>55387</v>
      </c>
      <c r="AU10" s="160">
        <v>14892</v>
      </c>
      <c r="AV10" s="160">
        <v>14962</v>
      </c>
      <c r="AW10" s="160">
        <v>16931</v>
      </c>
      <c r="AX10" s="160">
        <v>15669</v>
      </c>
      <c r="AY10" s="568">
        <v>62454</v>
      </c>
      <c r="AZ10" s="160">
        <v>15616</v>
      </c>
      <c r="BA10" s="160">
        <v>15484</v>
      </c>
      <c r="BB10" s="160">
        <v>14604</v>
      </c>
      <c r="BC10" s="219">
        <v>15030</v>
      </c>
      <c r="BD10" s="219">
        <f>AZ10+BA10+BB10+BC10</f>
        <v>60734</v>
      </c>
    </row>
    <row r="11" spans="1:232" ht="5.0999999999999996" customHeight="1" x14ac:dyDescent="0.2">
      <c r="A11" s="467"/>
      <c r="B11" s="128"/>
      <c r="C11" s="128"/>
      <c r="D11" s="128"/>
      <c r="E11" s="128"/>
      <c r="F11" s="569"/>
      <c r="G11" s="128"/>
      <c r="H11" s="128"/>
      <c r="I11" s="128"/>
      <c r="J11" s="128"/>
      <c r="K11" s="569"/>
      <c r="L11" s="128"/>
      <c r="M11" s="128"/>
      <c r="N11" s="128"/>
      <c r="O11" s="128"/>
      <c r="P11" s="569"/>
      <c r="Q11" s="128"/>
      <c r="R11" s="128"/>
      <c r="S11" s="128"/>
      <c r="T11" s="128"/>
      <c r="U11" s="569"/>
      <c r="V11" s="128"/>
      <c r="W11" s="128"/>
      <c r="X11" s="128"/>
      <c r="Y11" s="128"/>
      <c r="Z11" s="569"/>
      <c r="AA11" s="128"/>
      <c r="AB11" s="128"/>
      <c r="AC11" s="128"/>
      <c r="AD11" s="128"/>
      <c r="AE11" s="569"/>
      <c r="AF11" s="128"/>
      <c r="AG11" s="128"/>
      <c r="AH11" s="128"/>
      <c r="AI11" s="128"/>
      <c r="AJ11" s="569"/>
      <c r="AK11" s="128"/>
      <c r="AL11" s="128"/>
      <c r="AM11" s="128"/>
      <c r="AN11" s="128"/>
      <c r="AO11" s="569"/>
      <c r="AP11" s="128"/>
      <c r="AQ11" s="128"/>
      <c r="AR11" s="128"/>
      <c r="AS11" s="128"/>
      <c r="AT11" s="569"/>
      <c r="AU11" s="128"/>
      <c r="AV11" s="128"/>
      <c r="AW11" s="128"/>
      <c r="AX11" s="128"/>
      <c r="AY11" s="569"/>
      <c r="AZ11" s="128"/>
      <c r="BA11" s="128"/>
      <c r="BB11" s="128"/>
      <c r="BC11" s="219"/>
      <c r="BD11" s="219">
        <f t="shared" ref="BD11:BD35" si="0">AZ11+BA11+BB11+BC11</f>
        <v>0</v>
      </c>
      <c r="BE11" s="164"/>
    </row>
    <row r="12" spans="1:232" s="164" customFormat="1" ht="15" customHeight="1" x14ac:dyDescent="0.2">
      <c r="A12" s="468" t="s">
        <v>197</v>
      </c>
      <c r="B12" s="165">
        <v>-1087</v>
      </c>
      <c r="C12" s="165">
        <v>-1235</v>
      </c>
      <c r="D12" s="165">
        <v>-1382</v>
      </c>
      <c r="E12" s="165">
        <v>-1428</v>
      </c>
      <c r="F12" s="570">
        <f>(SUM(B12:E12))</f>
        <v>-5132</v>
      </c>
      <c r="G12" s="165">
        <v>-1611</v>
      </c>
      <c r="H12" s="165">
        <v>-1752</v>
      </c>
      <c r="I12" s="165">
        <v>-1671</v>
      </c>
      <c r="J12" s="165">
        <v>-1888</v>
      </c>
      <c r="K12" s="570">
        <f>(SUM(G12:J12))</f>
        <v>-6922</v>
      </c>
      <c r="L12" s="165">
        <v>-2762</v>
      </c>
      <c r="M12" s="165">
        <v>-3118</v>
      </c>
      <c r="N12" s="165">
        <v>-2908</v>
      </c>
      <c r="O12" s="165">
        <v>-2695</v>
      </c>
      <c r="P12" s="570">
        <f>(SUM(L12:O12))</f>
        <v>-11483</v>
      </c>
      <c r="Q12" s="165">
        <v>-2188</v>
      </c>
      <c r="R12" s="165">
        <v>-2161</v>
      </c>
      <c r="S12" s="165">
        <v>-2059</v>
      </c>
      <c r="T12" s="165">
        <v>-2295</v>
      </c>
      <c r="U12" s="570">
        <f>(SUM(Q12:T12))</f>
        <v>-8703</v>
      </c>
      <c r="V12" s="165">
        <v>-2360</v>
      </c>
      <c r="W12" s="165">
        <v>-2437</v>
      </c>
      <c r="X12" s="165">
        <v>-2779</v>
      </c>
      <c r="Y12" s="165">
        <v>-2661</v>
      </c>
      <c r="Z12" s="570">
        <f>(SUM(V12:Y12))</f>
        <v>-10237</v>
      </c>
      <c r="AA12" s="165">
        <v>-3094</v>
      </c>
      <c r="AB12" s="165">
        <v>-3407</v>
      </c>
      <c r="AC12" s="165">
        <v>-3303</v>
      </c>
      <c r="AD12" s="165">
        <v>-3210</v>
      </c>
      <c r="AE12" s="570">
        <f>(SUM(AA12:AD12))</f>
        <v>-13014</v>
      </c>
      <c r="AF12" s="165">
        <v>-3109</v>
      </c>
      <c r="AG12" s="165">
        <v>-3094</v>
      </c>
      <c r="AH12" s="165">
        <v>-2881</v>
      </c>
      <c r="AI12" s="165">
        <v>-2961</v>
      </c>
      <c r="AJ12" s="570">
        <f>(SUM(AF12:AI12))</f>
        <v>-12045</v>
      </c>
      <c r="AK12" s="165">
        <v>-2861</v>
      </c>
      <c r="AL12" s="165">
        <v>-3141</v>
      </c>
      <c r="AM12" s="165">
        <v>-3348</v>
      </c>
      <c r="AN12" s="165">
        <v>-3307</v>
      </c>
      <c r="AO12" s="570">
        <f>(SUM(AK12:AN12))</f>
        <v>-12657</v>
      </c>
      <c r="AP12" s="165">
        <v>-3580</v>
      </c>
      <c r="AQ12" s="165">
        <v>-3550</v>
      </c>
      <c r="AR12" s="165">
        <v>-3852</v>
      </c>
      <c r="AS12" s="165">
        <v>-4192</v>
      </c>
      <c r="AT12" s="570">
        <f>(SUM(AP12:AS12))</f>
        <v>-15174</v>
      </c>
      <c r="AU12" s="165">
        <v>-5448</v>
      </c>
      <c r="AV12" s="165">
        <v>-5024</v>
      </c>
      <c r="AW12" s="165">
        <v>-5742</v>
      </c>
      <c r="AX12" s="165">
        <v>-5525</v>
      </c>
      <c r="AY12" s="570">
        <f>(SUM(AU12:AX12))</f>
        <v>-21739</v>
      </c>
      <c r="AZ12" s="165">
        <v>-4862</v>
      </c>
      <c r="BA12" s="165">
        <v>-4970</v>
      </c>
      <c r="BB12" s="165">
        <v>-3822</v>
      </c>
      <c r="BC12" s="220">
        <v>-4622</v>
      </c>
      <c r="BD12" s="220">
        <f>(AZ12+BA12+BB12+BC12)</f>
        <v>-18276</v>
      </c>
    </row>
    <row r="13" spans="1:232" ht="5.0999999999999996" customHeight="1" x14ac:dyDescent="0.2">
      <c r="A13" s="467"/>
      <c r="B13" s="128"/>
      <c r="C13" s="128"/>
      <c r="D13" s="128"/>
      <c r="E13" s="128"/>
      <c r="F13" s="569"/>
      <c r="G13" s="128"/>
      <c r="H13" s="128"/>
      <c r="I13" s="128"/>
      <c r="J13" s="128"/>
      <c r="K13" s="569"/>
      <c r="L13" s="128"/>
      <c r="M13" s="128"/>
      <c r="N13" s="128"/>
      <c r="O13" s="128"/>
      <c r="P13" s="569"/>
      <c r="Q13" s="128"/>
      <c r="R13" s="128"/>
      <c r="S13" s="128"/>
      <c r="T13" s="128"/>
      <c r="U13" s="569"/>
      <c r="V13" s="128"/>
      <c r="W13" s="128"/>
      <c r="X13" s="128"/>
      <c r="Y13" s="128"/>
      <c r="Z13" s="569"/>
      <c r="AA13" s="128"/>
      <c r="AB13" s="128"/>
      <c r="AC13" s="128"/>
      <c r="AD13" s="128"/>
      <c r="AE13" s="569"/>
      <c r="AF13" s="128"/>
      <c r="AG13" s="128"/>
      <c r="AH13" s="128"/>
      <c r="AI13" s="128"/>
      <c r="AJ13" s="569"/>
      <c r="AK13" s="128"/>
      <c r="AL13" s="128"/>
      <c r="AM13" s="128"/>
      <c r="AN13" s="128"/>
      <c r="AO13" s="569"/>
      <c r="AP13" s="128"/>
      <c r="AQ13" s="128"/>
      <c r="AR13" s="128"/>
      <c r="AS13" s="128"/>
      <c r="AT13" s="569"/>
      <c r="AU13" s="128"/>
      <c r="AV13" s="128"/>
      <c r="AW13" s="128"/>
      <c r="AX13" s="128"/>
      <c r="AY13" s="569"/>
      <c r="AZ13" s="128"/>
      <c r="BA13" s="128"/>
      <c r="BB13" s="128"/>
      <c r="BC13" s="219"/>
      <c r="BD13" s="219">
        <f t="shared" si="0"/>
        <v>0</v>
      </c>
      <c r="BE13" s="164"/>
    </row>
    <row r="14" spans="1:232" s="164" customFormat="1" ht="15" customHeight="1" x14ac:dyDescent="0.2">
      <c r="A14" s="469" t="s">
        <v>198</v>
      </c>
      <c r="B14" s="160">
        <f>SUM(B10:B12)</f>
        <v>3475</v>
      </c>
      <c r="C14" s="160">
        <f t="shared" ref="C14:BD14" si="1">SUM(C10:C12)</f>
        <v>3942</v>
      </c>
      <c r="D14" s="160">
        <f t="shared" si="1"/>
        <v>3762</v>
      </c>
      <c r="E14" s="160">
        <f t="shared" si="1"/>
        <v>4064</v>
      </c>
      <c r="F14" s="568">
        <f t="shared" si="1"/>
        <v>15243</v>
      </c>
      <c r="G14" s="160">
        <f t="shared" si="1"/>
        <v>3975</v>
      </c>
      <c r="H14" s="160">
        <f t="shared" si="1"/>
        <v>4207</v>
      </c>
      <c r="I14" s="160">
        <f t="shared" si="1"/>
        <v>4003</v>
      </c>
      <c r="J14" s="160">
        <f t="shared" si="1"/>
        <v>4036</v>
      </c>
      <c r="K14" s="568">
        <f t="shared" si="1"/>
        <v>16221</v>
      </c>
      <c r="L14" s="160">
        <f t="shared" si="1"/>
        <v>4353</v>
      </c>
      <c r="M14" s="160">
        <f t="shared" si="1"/>
        <v>4442</v>
      </c>
      <c r="N14" s="160">
        <f t="shared" si="1"/>
        <v>4679</v>
      </c>
      <c r="O14" s="160">
        <f t="shared" si="1"/>
        <v>4797</v>
      </c>
      <c r="P14" s="568">
        <f t="shared" si="1"/>
        <v>18271</v>
      </c>
      <c r="Q14" s="160">
        <f t="shared" si="1"/>
        <v>5501</v>
      </c>
      <c r="R14" s="160">
        <f t="shared" si="1"/>
        <v>5886</v>
      </c>
      <c r="S14" s="160">
        <f t="shared" si="1"/>
        <v>6243</v>
      </c>
      <c r="T14" s="160">
        <f t="shared" si="1"/>
        <v>6723</v>
      </c>
      <c r="U14" s="568">
        <f t="shared" si="1"/>
        <v>24353</v>
      </c>
      <c r="V14" s="160">
        <f t="shared" si="1"/>
        <v>7002</v>
      </c>
      <c r="W14" s="160">
        <f t="shared" si="1"/>
        <v>7034</v>
      </c>
      <c r="X14" s="160">
        <f t="shared" si="1"/>
        <v>7451</v>
      </c>
      <c r="Y14" s="160">
        <f t="shared" si="1"/>
        <v>7597</v>
      </c>
      <c r="Z14" s="568">
        <f t="shared" si="1"/>
        <v>29084</v>
      </c>
      <c r="AA14" s="160">
        <f t="shared" si="1"/>
        <v>7601</v>
      </c>
      <c r="AB14" s="160">
        <f t="shared" si="1"/>
        <v>7627</v>
      </c>
      <c r="AC14" s="160">
        <f t="shared" si="1"/>
        <v>7652</v>
      </c>
      <c r="AD14" s="160">
        <f t="shared" si="1"/>
        <v>7899</v>
      </c>
      <c r="AE14" s="568">
        <f t="shared" si="1"/>
        <v>30779</v>
      </c>
      <c r="AF14" s="160">
        <f t="shared" si="1"/>
        <v>7597</v>
      </c>
      <c r="AG14" s="160">
        <f t="shared" si="1"/>
        <v>7493</v>
      </c>
      <c r="AH14" s="160">
        <f t="shared" si="1"/>
        <v>7848</v>
      </c>
      <c r="AI14" s="160">
        <f t="shared" si="1"/>
        <v>8303</v>
      </c>
      <c r="AJ14" s="568">
        <f t="shared" si="1"/>
        <v>31241</v>
      </c>
      <c r="AK14" s="160">
        <f t="shared" si="1"/>
        <v>8101</v>
      </c>
      <c r="AL14" s="160">
        <f t="shared" si="1"/>
        <v>8925</v>
      </c>
      <c r="AM14" s="160">
        <f t="shared" si="1"/>
        <v>8933</v>
      </c>
      <c r="AN14" s="160">
        <f t="shared" si="1"/>
        <v>9679</v>
      </c>
      <c r="AO14" s="568">
        <f t="shared" si="1"/>
        <v>35638</v>
      </c>
      <c r="AP14" s="160">
        <f t="shared" si="1"/>
        <v>10019</v>
      </c>
      <c r="AQ14" s="160">
        <f t="shared" si="1"/>
        <v>9991</v>
      </c>
      <c r="AR14" s="160">
        <f t="shared" si="1"/>
        <v>9883</v>
      </c>
      <c r="AS14" s="160">
        <f t="shared" si="1"/>
        <v>10320</v>
      </c>
      <c r="AT14" s="568">
        <f t="shared" si="1"/>
        <v>40213</v>
      </c>
      <c r="AU14" s="160">
        <f t="shared" si="1"/>
        <v>9444</v>
      </c>
      <c r="AV14" s="160">
        <f t="shared" si="1"/>
        <v>9938</v>
      </c>
      <c r="AW14" s="160">
        <f t="shared" si="1"/>
        <v>11189</v>
      </c>
      <c r="AX14" s="160">
        <f t="shared" si="1"/>
        <v>10144</v>
      </c>
      <c r="AY14" s="568">
        <f t="shared" si="1"/>
        <v>40715</v>
      </c>
      <c r="AZ14" s="160">
        <f t="shared" si="1"/>
        <v>10754</v>
      </c>
      <c r="BA14" s="160">
        <f t="shared" si="1"/>
        <v>10514</v>
      </c>
      <c r="BB14" s="160">
        <f t="shared" si="1"/>
        <v>10782</v>
      </c>
      <c r="BC14" s="219">
        <f t="shared" si="1"/>
        <v>10408</v>
      </c>
      <c r="BD14" s="219">
        <f t="shared" si="1"/>
        <v>42458</v>
      </c>
    </row>
    <row r="15" spans="1:232" ht="5.0999999999999996" customHeight="1" x14ac:dyDescent="0.2">
      <c r="A15" s="470"/>
      <c r="B15" s="128"/>
      <c r="C15" s="128"/>
      <c r="D15" s="128"/>
      <c r="E15" s="128"/>
      <c r="F15" s="569"/>
      <c r="G15" s="128"/>
      <c r="H15" s="128"/>
      <c r="I15" s="128"/>
      <c r="J15" s="128"/>
      <c r="K15" s="569"/>
      <c r="L15" s="128"/>
      <c r="M15" s="128"/>
      <c r="N15" s="128"/>
      <c r="O15" s="128"/>
      <c r="P15" s="569"/>
      <c r="Q15" s="128"/>
      <c r="R15" s="128"/>
      <c r="S15" s="128"/>
      <c r="T15" s="128"/>
      <c r="U15" s="569"/>
      <c r="V15" s="128"/>
      <c r="W15" s="128"/>
      <c r="X15" s="128"/>
      <c r="Y15" s="128"/>
      <c r="Z15" s="569"/>
      <c r="AA15" s="128"/>
      <c r="AB15" s="128"/>
      <c r="AC15" s="128"/>
      <c r="AD15" s="128"/>
      <c r="AE15" s="569"/>
      <c r="AF15" s="128"/>
      <c r="AG15" s="128"/>
      <c r="AH15" s="128"/>
      <c r="AI15" s="128"/>
      <c r="AJ15" s="569"/>
      <c r="AK15" s="128"/>
      <c r="AL15" s="128"/>
      <c r="AM15" s="128"/>
      <c r="AN15" s="128"/>
      <c r="AO15" s="569"/>
      <c r="AP15" s="128"/>
      <c r="AQ15" s="128"/>
      <c r="AR15" s="128"/>
      <c r="AS15" s="128"/>
      <c r="AT15" s="569"/>
      <c r="AU15" s="128"/>
      <c r="AV15" s="128"/>
      <c r="AW15" s="128"/>
      <c r="AX15" s="128"/>
      <c r="AY15" s="569"/>
      <c r="AZ15" s="128"/>
      <c r="BA15" s="128"/>
      <c r="BB15" s="128"/>
      <c r="BC15" s="219"/>
      <c r="BD15" s="219">
        <f t="shared" si="0"/>
        <v>0</v>
      </c>
      <c r="BE15" s="164"/>
    </row>
    <row r="16" spans="1:232" s="164" customFormat="1" ht="15" customHeight="1" x14ac:dyDescent="0.2">
      <c r="A16" s="469" t="s">
        <v>199</v>
      </c>
      <c r="B16" s="160">
        <f>SUM(B18:B25)</f>
        <v>-1202</v>
      </c>
      <c r="C16" s="160">
        <f>SUM(C18:C25)</f>
        <v>-1534</v>
      </c>
      <c r="D16" s="160">
        <f>SUM(D18:D25)</f>
        <v>-1309</v>
      </c>
      <c r="E16" s="160">
        <f>SUM(E18:E25)</f>
        <v>-1614</v>
      </c>
      <c r="F16" s="568">
        <f t="shared" ref="F16:F35" si="2">SUM(B16:E16)</f>
        <v>-5659</v>
      </c>
      <c r="G16" s="160">
        <f>SUM(G18:G25)</f>
        <v>-1456</v>
      </c>
      <c r="H16" s="160">
        <f>SUM(H18:H25)</f>
        <v>-1510</v>
      </c>
      <c r="I16" s="160">
        <f>SUM(I18:I25)</f>
        <v>-1432</v>
      </c>
      <c r="J16" s="160">
        <f>SUM(J18:J25)</f>
        <v>-1698</v>
      </c>
      <c r="K16" s="568">
        <f t="shared" ref="K16:K35" si="3">SUM(G16:J16)</f>
        <v>-6096</v>
      </c>
      <c r="L16" s="160">
        <f>SUM(L18:L25)</f>
        <v>-1740</v>
      </c>
      <c r="M16" s="160">
        <f>SUM(M18:M25)</f>
        <v>-1762</v>
      </c>
      <c r="N16" s="160">
        <f>SUM(N18:N25)</f>
        <v>-2334</v>
      </c>
      <c r="O16" s="160">
        <f>SUM(O18:O25)</f>
        <v>-2369</v>
      </c>
      <c r="P16" s="568">
        <f t="shared" ref="P16:P35" si="4">SUM(L16:O16)</f>
        <v>-8205</v>
      </c>
      <c r="Q16" s="160">
        <f>SUM(Q18:Q25)</f>
        <v>-2330</v>
      </c>
      <c r="R16" s="160">
        <f>SUM(R18:R25)</f>
        <v>-2240</v>
      </c>
      <c r="S16" s="160">
        <f>SUM(S18:S25)</f>
        <v>-2529</v>
      </c>
      <c r="T16" s="160">
        <f>SUM(T18:T25)</f>
        <v>-2966</v>
      </c>
      <c r="U16" s="568">
        <f t="shared" ref="U16:U35" si="5">SUM(Q16:T16)</f>
        <v>-10065</v>
      </c>
      <c r="V16" s="160">
        <f>SUM(V18:V25)</f>
        <v>-3049</v>
      </c>
      <c r="W16" s="160">
        <f>SUM(W18:W25)</f>
        <v>-2906</v>
      </c>
      <c r="X16" s="160">
        <f>SUM(X18:X25)</f>
        <v>-3277</v>
      </c>
      <c r="Y16" s="160">
        <f>SUM(Y18:Y25)</f>
        <v>-3563</v>
      </c>
      <c r="Z16" s="568">
        <f t="shared" ref="Z16:Z35" si="6">SUM(V16:Y16)</f>
        <v>-12795</v>
      </c>
      <c r="AA16" s="160">
        <f>SUM(AA18:AA25)</f>
        <v>-3252</v>
      </c>
      <c r="AB16" s="160">
        <f>SUM(AB18:AB25)</f>
        <v>-3261</v>
      </c>
      <c r="AC16" s="160">
        <f>SUM(AC18:AC25)</f>
        <v>-3264</v>
      </c>
      <c r="AD16" s="160">
        <f>SUM(AD18:AD25)</f>
        <v>-3450</v>
      </c>
      <c r="AE16" s="568">
        <f t="shared" ref="AE16:AE35" si="7">SUM(AA16:AD16)</f>
        <v>-13227</v>
      </c>
      <c r="AF16" s="160">
        <f>SUM(AF18:AF25)</f>
        <v>-3050</v>
      </c>
      <c r="AG16" s="160">
        <f>SUM(AG18:AG25)</f>
        <v>-2910</v>
      </c>
      <c r="AH16" s="160">
        <f>SUM(AH18:AH25)</f>
        <v>-3079</v>
      </c>
      <c r="AI16" s="160">
        <f>SUM(AI18:AI25)</f>
        <v>-3358</v>
      </c>
      <c r="AJ16" s="568">
        <f t="shared" ref="AJ16:AJ35" si="8">SUM(AF16:AI16)</f>
        <v>-12397</v>
      </c>
      <c r="AK16" s="160">
        <f>SUM(AK18:AK25)</f>
        <v>-2691</v>
      </c>
      <c r="AL16" s="160">
        <f>SUM(AL18:AL25)</f>
        <v>-2843</v>
      </c>
      <c r="AM16" s="160">
        <f>SUM(AM18:AM25)</f>
        <v>-2833</v>
      </c>
      <c r="AN16" s="160">
        <f>SUM(AN18:AN25)</f>
        <v>-3147</v>
      </c>
      <c r="AO16" s="568">
        <f t="shared" ref="AO16:AO35" si="9">SUM(AK16:AN16)</f>
        <v>-11514</v>
      </c>
      <c r="AP16" s="160">
        <f>SUM(AP18:AP25)</f>
        <v>-3370</v>
      </c>
      <c r="AQ16" s="160">
        <f>SUM(AQ18:AQ25)</f>
        <v>-3039</v>
      </c>
      <c r="AR16" s="160">
        <f>SUM(AR18:AR25)</f>
        <v>-3102</v>
      </c>
      <c r="AS16" s="160">
        <f>SUM(AS18:AS25)</f>
        <v>-3466</v>
      </c>
      <c r="AT16" s="568">
        <f t="shared" ref="AT16:AT35" si="10">SUM(AP16:AS16)</f>
        <v>-12977</v>
      </c>
      <c r="AU16" s="160">
        <f>SUM(AU18:AU25)</f>
        <v>-2886</v>
      </c>
      <c r="AV16" s="160">
        <f>SUM(AV18:AV25)</f>
        <v>-3763</v>
      </c>
      <c r="AW16" s="160">
        <f>SUM(AW18:AW25)</f>
        <v>-4728</v>
      </c>
      <c r="AX16" s="160">
        <f>SUM(AX18:AX25)</f>
        <v>-4546</v>
      </c>
      <c r="AY16" s="568">
        <f t="shared" ref="AY16:AY35" si="11">SUM(AU16:AX16)</f>
        <v>-15923</v>
      </c>
      <c r="AZ16" s="160">
        <f>SUM(AZ18:AZ25)</f>
        <v>-4165</v>
      </c>
      <c r="BA16" s="160">
        <f>SUM(BA18:BA25)</f>
        <v>-4036</v>
      </c>
      <c r="BB16" s="160">
        <f>SUM(BB18:BB25)</f>
        <v>-4030</v>
      </c>
      <c r="BC16" s="219">
        <f>SUM(BC18:BC25)</f>
        <v>-3934</v>
      </c>
      <c r="BD16" s="219">
        <f t="shared" si="0"/>
        <v>-16165</v>
      </c>
    </row>
    <row r="17" spans="1:57" ht="5.0999999999999996" customHeight="1" x14ac:dyDescent="0.2">
      <c r="A17" s="467"/>
      <c r="B17" s="128"/>
      <c r="C17" s="128"/>
      <c r="D17" s="128"/>
      <c r="E17" s="128"/>
      <c r="F17" s="569"/>
      <c r="G17" s="128"/>
      <c r="H17" s="128"/>
      <c r="I17" s="128"/>
      <c r="J17" s="128"/>
      <c r="K17" s="569"/>
      <c r="L17" s="128"/>
      <c r="M17" s="128"/>
      <c r="N17" s="128"/>
      <c r="O17" s="128"/>
      <c r="P17" s="569"/>
      <c r="Q17" s="128"/>
      <c r="R17" s="128"/>
      <c r="S17" s="128"/>
      <c r="T17" s="128"/>
      <c r="U17" s="569"/>
      <c r="V17" s="128"/>
      <c r="W17" s="128"/>
      <c r="X17" s="128"/>
      <c r="Y17" s="128"/>
      <c r="Z17" s="569"/>
      <c r="AA17" s="128"/>
      <c r="AB17" s="128"/>
      <c r="AC17" s="128"/>
      <c r="AD17" s="128"/>
      <c r="AE17" s="569"/>
      <c r="AF17" s="128"/>
      <c r="AG17" s="128"/>
      <c r="AH17" s="128"/>
      <c r="AI17" s="128"/>
      <c r="AJ17" s="569"/>
      <c r="AK17" s="128"/>
      <c r="AL17" s="128"/>
      <c r="AM17" s="128"/>
      <c r="AN17" s="128"/>
      <c r="AO17" s="569"/>
      <c r="AP17" s="128"/>
      <c r="AQ17" s="128"/>
      <c r="AR17" s="128"/>
      <c r="AS17" s="128"/>
      <c r="AT17" s="569"/>
      <c r="AU17" s="128"/>
      <c r="AV17" s="128"/>
      <c r="AW17" s="128"/>
      <c r="AX17" s="128"/>
      <c r="AY17" s="569"/>
      <c r="AZ17" s="128"/>
      <c r="BA17" s="128"/>
      <c r="BB17" s="128"/>
      <c r="BC17" s="219"/>
      <c r="BD17" s="219">
        <f t="shared" si="0"/>
        <v>0</v>
      </c>
      <c r="BE17" s="164"/>
    </row>
    <row r="18" spans="1:57" s="164" customFormat="1" ht="15" customHeight="1" x14ac:dyDescent="0.2">
      <c r="A18" s="468" t="s">
        <v>154</v>
      </c>
      <c r="B18" s="165">
        <v>2458</v>
      </c>
      <c r="C18" s="165">
        <v>2514</v>
      </c>
      <c r="D18" s="165">
        <v>2661</v>
      </c>
      <c r="E18" s="165">
        <v>2783</v>
      </c>
      <c r="F18" s="570">
        <f t="shared" si="2"/>
        <v>10416</v>
      </c>
      <c r="G18" s="165">
        <v>2691</v>
      </c>
      <c r="H18" s="165">
        <v>2657</v>
      </c>
      <c r="I18" s="165">
        <v>2698</v>
      </c>
      <c r="J18" s="165">
        <v>2698</v>
      </c>
      <c r="K18" s="570">
        <f t="shared" si="3"/>
        <v>10744</v>
      </c>
      <c r="L18" s="165">
        <v>2723</v>
      </c>
      <c r="M18" s="165">
        <v>2911</v>
      </c>
      <c r="N18" s="165">
        <v>2857</v>
      </c>
      <c r="O18" s="165">
        <v>3125</v>
      </c>
      <c r="P18" s="570">
        <f t="shared" si="4"/>
        <v>11616</v>
      </c>
      <c r="Q18" s="165">
        <v>3124</v>
      </c>
      <c r="R18" s="165">
        <v>3253</v>
      </c>
      <c r="S18" s="165">
        <v>3427</v>
      </c>
      <c r="T18" s="165">
        <v>3568</v>
      </c>
      <c r="U18" s="570">
        <f t="shared" si="5"/>
        <v>13372</v>
      </c>
      <c r="V18" s="165">
        <v>3510</v>
      </c>
      <c r="W18" s="165">
        <v>3751</v>
      </c>
      <c r="X18" s="165">
        <v>3876</v>
      </c>
      <c r="Y18" s="165">
        <v>4086</v>
      </c>
      <c r="Z18" s="570">
        <f t="shared" si="6"/>
        <v>15223</v>
      </c>
      <c r="AA18" s="165">
        <v>4118</v>
      </c>
      <c r="AB18" s="165">
        <v>4281</v>
      </c>
      <c r="AC18" s="165">
        <v>4438</v>
      </c>
      <c r="AD18" s="165">
        <v>4675</v>
      </c>
      <c r="AE18" s="570">
        <f t="shared" si="7"/>
        <v>17512</v>
      </c>
      <c r="AF18" s="165">
        <v>4599</v>
      </c>
      <c r="AG18" s="165">
        <v>4983</v>
      </c>
      <c r="AH18" s="165">
        <v>4977</v>
      </c>
      <c r="AI18" s="165">
        <v>5227</v>
      </c>
      <c r="AJ18" s="570">
        <f t="shared" si="8"/>
        <v>19786</v>
      </c>
      <c r="AK18" s="165">
        <v>5283</v>
      </c>
      <c r="AL18" s="165">
        <v>5328</v>
      </c>
      <c r="AM18" s="165">
        <v>5639</v>
      </c>
      <c r="AN18" s="165">
        <v>5839</v>
      </c>
      <c r="AO18" s="570">
        <f t="shared" si="9"/>
        <v>22089</v>
      </c>
      <c r="AP18" s="165">
        <v>5744</v>
      </c>
      <c r="AQ18" s="165">
        <v>6118</v>
      </c>
      <c r="AR18" s="165">
        <v>6380</v>
      </c>
      <c r="AS18" s="165">
        <v>6597</v>
      </c>
      <c r="AT18" s="570">
        <f t="shared" si="10"/>
        <v>24839</v>
      </c>
      <c r="AU18" s="165">
        <v>6405</v>
      </c>
      <c r="AV18" s="165">
        <v>6624</v>
      </c>
      <c r="AW18" s="165">
        <v>7450</v>
      </c>
      <c r="AX18" s="165">
        <v>7545</v>
      </c>
      <c r="AY18" s="570">
        <f t="shared" si="11"/>
        <v>28024</v>
      </c>
      <c r="AZ18" s="165">
        <v>7430</v>
      </c>
      <c r="BA18" s="165">
        <v>7496</v>
      </c>
      <c r="BB18" s="165">
        <v>7822</v>
      </c>
      <c r="BC18" s="220">
        <v>8062</v>
      </c>
      <c r="BD18" s="220">
        <f t="shared" si="0"/>
        <v>30810</v>
      </c>
    </row>
    <row r="19" spans="1:57" s="164" customFormat="1" ht="15" customHeight="1" x14ac:dyDescent="0.2">
      <c r="A19" s="226" t="s">
        <v>733</v>
      </c>
      <c r="B19" s="165">
        <v>241</v>
      </c>
      <c r="C19" s="165">
        <v>116</v>
      </c>
      <c r="D19" s="165">
        <v>208</v>
      </c>
      <c r="E19" s="165">
        <v>146</v>
      </c>
      <c r="F19" s="570">
        <f t="shared" si="2"/>
        <v>711</v>
      </c>
      <c r="G19" s="165">
        <v>515</v>
      </c>
      <c r="H19" s="165">
        <v>567</v>
      </c>
      <c r="I19" s="165">
        <v>629</v>
      </c>
      <c r="J19" s="165">
        <v>544</v>
      </c>
      <c r="K19" s="570">
        <f t="shared" si="3"/>
        <v>2255</v>
      </c>
      <c r="L19" s="165">
        <v>537</v>
      </c>
      <c r="M19" s="165">
        <v>529</v>
      </c>
      <c r="N19" s="165">
        <v>433</v>
      </c>
      <c r="O19" s="165">
        <v>484</v>
      </c>
      <c r="P19" s="570">
        <f t="shared" si="4"/>
        <v>1983</v>
      </c>
      <c r="Q19" s="165">
        <v>583</v>
      </c>
      <c r="R19" s="165">
        <v>786</v>
      </c>
      <c r="S19" s="165">
        <v>703</v>
      </c>
      <c r="T19" s="165">
        <v>700</v>
      </c>
      <c r="U19" s="570">
        <f t="shared" si="5"/>
        <v>2772</v>
      </c>
      <c r="V19" s="165">
        <v>785</v>
      </c>
      <c r="W19" s="165">
        <v>788</v>
      </c>
      <c r="X19" s="165">
        <v>864</v>
      </c>
      <c r="Y19" s="165">
        <v>933</v>
      </c>
      <c r="Z19" s="570">
        <f t="shared" si="6"/>
        <v>3370</v>
      </c>
      <c r="AA19" s="165">
        <v>877</v>
      </c>
      <c r="AB19" s="165">
        <v>953</v>
      </c>
      <c r="AC19" s="165">
        <v>1029</v>
      </c>
      <c r="AD19" s="165">
        <v>955</v>
      </c>
      <c r="AE19" s="570">
        <f t="shared" si="7"/>
        <v>3814</v>
      </c>
      <c r="AF19" s="165">
        <v>1155</v>
      </c>
      <c r="AG19" s="165">
        <v>1028</v>
      </c>
      <c r="AH19" s="165">
        <v>1100</v>
      </c>
      <c r="AI19" s="165">
        <v>1188</v>
      </c>
      <c r="AJ19" s="570">
        <f t="shared" si="8"/>
        <v>4471</v>
      </c>
      <c r="AK19" s="165">
        <v>1244</v>
      </c>
      <c r="AL19" s="165">
        <v>1270</v>
      </c>
      <c r="AM19" s="165">
        <v>1170</v>
      </c>
      <c r="AN19" s="165">
        <v>1363</v>
      </c>
      <c r="AO19" s="570">
        <f t="shared" si="9"/>
        <v>5047</v>
      </c>
      <c r="AP19" s="165">
        <v>1211</v>
      </c>
      <c r="AQ19" s="165">
        <v>1311</v>
      </c>
      <c r="AR19" s="165">
        <v>1411</v>
      </c>
      <c r="AS19" s="165">
        <v>1493</v>
      </c>
      <c r="AT19" s="570">
        <f t="shared" si="10"/>
        <v>5426</v>
      </c>
      <c r="AU19" s="165">
        <v>1625</v>
      </c>
      <c r="AV19" s="165">
        <v>1084</v>
      </c>
      <c r="AW19" s="165">
        <v>1280</v>
      </c>
      <c r="AX19" s="165">
        <v>1680</v>
      </c>
      <c r="AY19" s="570">
        <f t="shared" si="11"/>
        <v>5669</v>
      </c>
      <c r="AZ19" s="165">
        <v>1627</v>
      </c>
      <c r="BA19" s="165">
        <v>1781</v>
      </c>
      <c r="BB19" s="165">
        <v>1511</v>
      </c>
      <c r="BC19" s="220">
        <v>1873</v>
      </c>
      <c r="BD19" s="220">
        <f t="shared" si="0"/>
        <v>6792</v>
      </c>
    </row>
    <row r="20" spans="1:57" s="164" customFormat="1" ht="15" customHeight="1" x14ac:dyDescent="0.2">
      <c r="A20" s="468" t="s">
        <v>152</v>
      </c>
      <c r="B20" s="165">
        <v>-1506</v>
      </c>
      <c r="C20" s="165">
        <v>-1701</v>
      </c>
      <c r="D20" s="165">
        <v>-1692</v>
      </c>
      <c r="E20" s="165">
        <v>-1875</v>
      </c>
      <c r="F20" s="570">
        <f t="shared" si="2"/>
        <v>-6774</v>
      </c>
      <c r="G20" s="165">
        <v>-1794</v>
      </c>
      <c r="H20" s="165">
        <v>-1775</v>
      </c>
      <c r="I20" s="165">
        <v>-1889</v>
      </c>
      <c r="J20" s="165">
        <v>-1932</v>
      </c>
      <c r="K20" s="570">
        <f t="shared" si="3"/>
        <v>-7390</v>
      </c>
      <c r="L20" s="165">
        <v>-1852</v>
      </c>
      <c r="M20" s="165">
        <v>-1908</v>
      </c>
      <c r="N20" s="165">
        <v>-2126</v>
      </c>
      <c r="O20" s="165">
        <v>-2081</v>
      </c>
      <c r="P20" s="570">
        <f t="shared" si="4"/>
        <v>-7967</v>
      </c>
      <c r="Q20" s="165">
        <v>-2120</v>
      </c>
      <c r="R20" s="165">
        <v>-2238</v>
      </c>
      <c r="S20" s="165">
        <v>-2411</v>
      </c>
      <c r="T20" s="165">
        <v>-2533</v>
      </c>
      <c r="U20" s="570">
        <f t="shared" si="5"/>
        <v>-9302</v>
      </c>
      <c r="V20" s="165">
        <v>-2436</v>
      </c>
      <c r="W20" s="165">
        <v>-2605</v>
      </c>
      <c r="X20" s="165">
        <v>-2880</v>
      </c>
      <c r="Y20" s="165">
        <v>-3140</v>
      </c>
      <c r="Z20" s="570">
        <f t="shared" si="6"/>
        <v>-11061</v>
      </c>
      <c r="AA20" s="165">
        <v>-2878</v>
      </c>
      <c r="AB20" s="165">
        <v>-3047</v>
      </c>
      <c r="AC20" s="165">
        <v>-3119</v>
      </c>
      <c r="AD20" s="165">
        <v>-3142</v>
      </c>
      <c r="AE20" s="570">
        <f t="shared" si="7"/>
        <v>-12186</v>
      </c>
      <c r="AF20" s="165">
        <v>-3059</v>
      </c>
      <c r="AG20" s="165">
        <v>-3191</v>
      </c>
      <c r="AH20" s="165">
        <v>-3346</v>
      </c>
      <c r="AI20" s="165">
        <v>-3465</v>
      </c>
      <c r="AJ20" s="570">
        <f t="shared" si="8"/>
        <v>-13061</v>
      </c>
      <c r="AK20" s="165">
        <v>-3279</v>
      </c>
      <c r="AL20" s="165">
        <v>-3448</v>
      </c>
      <c r="AM20" s="165">
        <v>-3564</v>
      </c>
      <c r="AN20" s="165">
        <v>-3676</v>
      </c>
      <c r="AO20" s="570">
        <f t="shared" si="9"/>
        <v>-13967</v>
      </c>
      <c r="AP20" s="165">
        <v>-3445</v>
      </c>
      <c r="AQ20" s="165">
        <v>-3618</v>
      </c>
      <c r="AR20" s="165">
        <v>-3797</v>
      </c>
      <c r="AS20" s="165">
        <v>-3839</v>
      </c>
      <c r="AT20" s="570">
        <f t="shared" si="10"/>
        <v>-14699</v>
      </c>
      <c r="AU20" s="165">
        <v>-3754</v>
      </c>
      <c r="AV20" s="165">
        <v>-3882</v>
      </c>
      <c r="AW20" s="165">
        <v>-4930</v>
      </c>
      <c r="AX20" s="165">
        <v>-5071</v>
      </c>
      <c r="AY20" s="570">
        <f t="shared" si="11"/>
        <v>-17637</v>
      </c>
      <c r="AZ20" s="165">
        <v>-4822</v>
      </c>
      <c r="BA20" s="165">
        <v>-4967</v>
      </c>
      <c r="BB20" s="165">
        <v>-4833</v>
      </c>
      <c r="BC20" s="220">
        <v>-4878</v>
      </c>
      <c r="BD20" s="220">
        <f t="shared" si="0"/>
        <v>-19500</v>
      </c>
    </row>
    <row r="21" spans="1:57" s="164" customFormat="1" ht="15" customHeight="1" x14ac:dyDescent="0.2">
      <c r="A21" s="468" t="s">
        <v>153</v>
      </c>
      <c r="B21" s="165">
        <v>-1602</v>
      </c>
      <c r="C21" s="165">
        <v>-1688</v>
      </c>
      <c r="D21" s="165">
        <v>-1792</v>
      </c>
      <c r="E21" s="165">
        <v>-2039</v>
      </c>
      <c r="F21" s="570">
        <f t="shared" si="2"/>
        <v>-7121</v>
      </c>
      <c r="G21" s="165">
        <v>-1877</v>
      </c>
      <c r="H21" s="165">
        <v>-2002</v>
      </c>
      <c r="I21" s="165">
        <v>-2130</v>
      </c>
      <c r="J21" s="165">
        <v>-2298</v>
      </c>
      <c r="K21" s="570">
        <f t="shared" si="3"/>
        <v>-8307</v>
      </c>
      <c r="L21" s="165">
        <v>-2155</v>
      </c>
      <c r="M21" s="165">
        <v>-2233</v>
      </c>
      <c r="N21" s="165">
        <v>-2359</v>
      </c>
      <c r="O21" s="165">
        <v>-2746</v>
      </c>
      <c r="P21" s="570">
        <f t="shared" si="4"/>
        <v>-9493</v>
      </c>
      <c r="Q21" s="165">
        <v>-2647</v>
      </c>
      <c r="R21" s="165">
        <v>-2738</v>
      </c>
      <c r="S21" s="165">
        <v>-2890</v>
      </c>
      <c r="T21" s="165">
        <v>-3257</v>
      </c>
      <c r="U21" s="570">
        <f t="shared" si="5"/>
        <v>-11532</v>
      </c>
      <c r="V21" s="165">
        <v>-3140</v>
      </c>
      <c r="W21" s="165">
        <v>-3179</v>
      </c>
      <c r="X21" s="165">
        <v>-3405</v>
      </c>
      <c r="Y21" s="165">
        <v>-3682</v>
      </c>
      <c r="Z21" s="570">
        <f t="shared" si="6"/>
        <v>-13406</v>
      </c>
      <c r="AA21" s="165">
        <v>-3401</v>
      </c>
      <c r="AB21" s="165">
        <v>-3441</v>
      </c>
      <c r="AC21" s="165">
        <v>-3565</v>
      </c>
      <c r="AD21" s="165">
        <v>-3755</v>
      </c>
      <c r="AE21" s="570">
        <f t="shared" si="7"/>
        <v>-14162</v>
      </c>
      <c r="AF21" s="165">
        <v>-3455</v>
      </c>
      <c r="AG21" s="165">
        <v>-3578</v>
      </c>
      <c r="AH21" s="165">
        <v>-3631</v>
      </c>
      <c r="AI21" s="165">
        <v>-3848</v>
      </c>
      <c r="AJ21" s="570">
        <f t="shared" si="8"/>
        <v>-14512</v>
      </c>
      <c r="AK21" s="165">
        <v>-3486</v>
      </c>
      <c r="AL21" s="165">
        <v>-3575</v>
      </c>
      <c r="AM21" s="165">
        <v>-3628</v>
      </c>
      <c r="AN21" s="165">
        <v>-4159</v>
      </c>
      <c r="AO21" s="570">
        <f t="shared" si="9"/>
        <v>-14848</v>
      </c>
      <c r="AP21" s="165">
        <v>-3639</v>
      </c>
      <c r="AQ21" s="165">
        <v>-3926</v>
      </c>
      <c r="AR21" s="165">
        <v>-4200</v>
      </c>
      <c r="AS21" s="165">
        <v>-4574</v>
      </c>
      <c r="AT21" s="570">
        <f t="shared" si="10"/>
        <v>-16339</v>
      </c>
      <c r="AU21" s="165">
        <v>-4116</v>
      </c>
      <c r="AV21" s="165">
        <v>-4270</v>
      </c>
      <c r="AW21" s="165">
        <v>-5337</v>
      </c>
      <c r="AX21" s="165">
        <v>-5411</v>
      </c>
      <c r="AY21" s="570">
        <f t="shared" si="11"/>
        <v>-19134</v>
      </c>
      <c r="AZ21" s="165">
        <v>-4854</v>
      </c>
      <c r="BA21" s="165">
        <v>-4898</v>
      </c>
      <c r="BB21" s="165">
        <v>-5030</v>
      </c>
      <c r="BC21" s="220">
        <v>-5340</v>
      </c>
      <c r="BD21" s="220">
        <f t="shared" si="0"/>
        <v>-20122</v>
      </c>
    </row>
    <row r="22" spans="1:57" s="164" customFormat="1" ht="15" customHeight="1" x14ac:dyDescent="0.2">
      <c r="A22" s="468" t="s">
        <v>200</v>
      </c>
      <c r="B22" s="165">
        <v>-592</v>
      </c>
      <c r="C22" s="165">
        <v>-588</v>
      </c>
      <c r="D22" s="165">
        <v>-605</v>
      </c>
      <c r="E22" s="165">
        <v>-631</v>
      </c>
      <c r="F22" s="570">
        <f t="shared" si="2"/>
        <v>-2416</v>
      </c>
      <c r="G22" s="165">
        <v>-619</v>
      </c>
      <c r="H22" s="165">
        <v>-573</v>
      </c>
      <c r="I22" s="165">
        <v>-540</v>
      </c>
      <c r="J22" s="165">
        <v>-498</v>
      </c>
      <c r="K22" s="570">
        <f t="shared" si="3"/>
        <v>-2230</v>
      </c>
      <c r="L22" s="165">
        <v>-587</v>
      </c>
      <c r="M22" s="165">
        <v>-615</v>
      </c>
      <c r="N22" s="165">
        <v>-639</v>
      </c>
      <c r="O22" s="165">
        <v>-694</v>
      </c>
      <c r="P22" s="570">
        <f t="shared" si="4"/>
        <v>-2535</v>
      </c>
      <c r="Q22" s="165">
        <v>-749</v>
      </c>
      <c r="R22" s="165">
        <v>-734</v>
      </c>
      <c r="S22" s="165">
        <v>-779</v>
      </c>
      <c r="T22" s="165">
        <v>-858</v>
      </c>
      <c r="U22" s="570">
        <f t="shared" si="5"/>
        <v>-3120</v>
      </c>
      <c r="V22" s="165">
        <v>-880</v>
      </c>
      <c r="W22" s="165">
        <v>-913</v>
      </c>
      <c r="X22" s="165">
        <v>-866</v>
      </c>
      <c r="Y22" s="165">
        <v>-1005</v>
      </c>
      <c r="Z22" s="570">
        <f t="shared" si="6"/>
        <v>-3664</v>
      </c>
      <c r="AA22" s="165">
        <v>-1012</v>
      </c>
      <c r="AB22" s="165">
        <v>-991</v>
      </c>
      <c r="AC22" s="165">
        <v>-1038</v>
      </c>
      <c r="AD22" s="165">
        <v>-1098</v>
      </c>
      <c r="AE22" s="570">
        <f t="shared" si="7"/>
        <v>-4139</v>
      </c>
      <c r="AF22" s="165">
        <v>-1123</v>
      </c>
      <c r="AG22" s="165">
        <v>-1017</v>
      </c>
      <c r="AH22" s="165">
        <v>-987</v>
      </c>
      <c r="AI22" s="165">
        <v>-1254</v>
      </c>
      <c r="AJ22" s="570">
        <f t="shared" si="8"/>
        <v>-4381</v>
      </c>
      <c r="AK22" s="165">
        <v>-1114</v>
      </c>
      <c r="AL22" s="165">
        <v>-1120</v>
      </c>
      <c r="AM22" s="165">
        <v>-1182</v>
      </c>
      <c r="AN22" s="165">
        <v>-1211</v>
      </c>
      <c r="AO22" s="570">
        <f t="shared" si="9"/>
        <v>-4627</v>
      </c>
      <c r="AP22" s="165">
        <v>-1309</v>
      </c>
      <c r="AQ22" s="165">
        <v>-1351</v>
      </c>
      <c r="AR22" s="165">
        <v>-1330</v>
      </c>
      <c r="AS22" s="165">
        <v>-1650</v>
      </c>
      <c r="AT22" s="570">
        <f t="shared" si="10"/>
        <v>-5640</v>
      </c>
      <c r="AU22" s="165">
        <v>-1418</v>
      </c>
      <c r="AV22" s="165">
        <v>-1326</v>
      </c>
      <c r="AW22" s="165">
        <v>-1601</v>
      </c>
      <c r="AX22" s="165">
        <v>-1703</v>
      </c>
      <c r="AY22" s="570">
        <f t="shared" si="11"/>
        <v>-6048</v>
      </c>
      <c r="AZ22" s="165">
        <v>-1772</v>
      </c>
      <c r="BA22" s="165">
        <v>-1718</v>
      </c>
      <c r="BB22" s="165">
        <v>-1696</v>
      </c>
      <c r="BC22" s="220">
        <v>-1758</v>
      </c>
      <c r="BD22" s="220">
        <f t="shared" si="0"/>
        <v>-6944</v>
      </c>
    </row>
    <row r="23" spans="1:57" s="164" customFormat="1" ht="15" customHeight="1" x14ac:dyDescent="0.2">
      <c r="A23" s="468" t="s">
        <v>201</v>
      </c>
      <c r="B23" s="165">
        <v>12</v>
      </c>
      <c r="C23" s="165">
        <v>4</v>
      </c>
      <c r="D23" s="165">
        <v>16</v>
      </c>
      <c r="E23" s="165">
        <v>10</v>
      </c>
      <c r="F23" s="570">
        <f t="shared" si="2"/>
        <v>42</v>
      </c>
      <c r="G23" s="165">
        <v>32</v>
      </c>
      <c r="H23" s="165">
        <v>34</v>
      </c>
      <c r="I23" s="165">
        <v>23</v>
      </c>
      <c r="J23" s="165">
        <v>47</v>
      </c>
      <c r="K23" s="570">
        <f t="shared" si="3"/>
        <v>136</v>
      </c>
      <c r="L23" s="165">
        <v>6</v>
      </c>
      <c r="M23" s="165">
        <v>13</v>
      </c>
      <c r="N23" s="165">
        <v>39</v>
      </c>
      <c r="O23" s="165">
        <v>82</v>
      </c>
      <c r="P23" s="570">
        <f t="shared" si="4"/>
        <v>140</v>
      </c>
      <c r="Q23" s="165">
        <v>29</v>
      </c>
      <c r="R23" s="165">
        <v>19</v>
      </c>
      <c r="S23" s="165">
        <v>19</v>
      </c>
      <c r="T23" s="165">
        <v>60</v>
      </c>
      <c r="U23" s="570">
        <f t="shared" si="5"/>
        <v>127</v>
      </c>
      <c r="V23" s="165">
        <v>34</v>
      </c>
      <c r="W23" s="165">
        <v>16</v>
      </c>
      <c r="X23" s="165">
        <v>41</v>
      </c>
      <c r="Y23" s="165">
        <v>53</v>
      </c>
      <c r="Z23" s="570">
        <f t="shared" si="6"/>
        <v>144</v>
      </c>
      <c r="AA23" s="165">
        <v>40</v>
      </c>
      <c r="AB23" s="165">
        <v>19</v>
      </c>
      <c r="AC23" s="165">
        <v>45</v>
      </c>
      <c r="AD23" s="165">
        <v>45</v>
      </c>
      <c r="AE23" s="570">
        <f t="shared" si="7"/>
        <v>149</v>
      </c>
      <c r="AF23" s="165">
        <v>3</v>
      </c>
      <c r="AG23" s="165">
        <v>12</v>
      </c>
      <c r="AH23" s="165">
        <v>2</v>
      </c>
      <c r="AI23" s="165">
        <v>26</v>
      </c>
      <c r="AJ23" s="570">
        <f t="shared" si="8"/>
        <v>43</v>
      </c>
      <c r="AK23" s="165">
        <v>52</v>
      </c>
      <c r="AL23" s="165">
        <v>35</v>
      </c>
      <c r="AM23" s="165">
        <v>43</v>
      </c>
      <c r="AN23" s="165">
        <v>57</v>
      </c>
      <c r="AO23" s="570">
        <f t="shared" si="9"/>
        <v>187</v>
      </c>
      <c r="AP23" s="165">
        <v>-20</v>
      </c>
      <c r="AQ23" s="165">
        <v>33</v>
      </c>
      <c r="AR23" s="165">
        <v>38</v>
      </c>
      <c r="AS23" s="165">
        <v>93</v>
      </c>
      <c r="AT23" s="570">
        <f t="shared" si="10"/>
        <v>144</v>
      </c>
      <c r="AU23" s="165">
        <v>40</v>
      </c>
      <c r="AV23" s="165">
        <v>22</v>
      </c>
      <c r="AW23" s="165">
        <v>108</v>
      </c>
      <c r="AX23" s="165">
        <v>48</v>
      </c>
      <c r="AY23" s="570">
        <f t="shared" si="11"/>
        <v>218</v>
      </c>
      <c r="AZ23" s="165">
        <v>58</v>
      </c>
      <c r="BA23" s="165">
        <v>62</v>
      </c>
      <c r="BB23" s="165">
        <v>42</v>
      </c>
      <c r="BC23" s="220">
        <v>30</v>
      </c>
      <c r="BD23" s="220">
        <f t="shared" si="0"/>
        <v>192</v>
      </c>
    </row>
    <row r="24" spans="1:57" s="164" customFormat="1" ht="15" customHeight="1" x14ac:dyDescent="0.2">
      <c r="A24" s="468" t="s">
        <v>533</v>
      </c>
      <c r="B24" s="165">
        <v>199</v>
      </c>
      <c r="C24" s="165">
        <v>184</v>
      </c>
      <c r="D24" s="165">
        <v>209</v>
      </c>
      <c r="E24" s="165">
        <v>273</v>
      </c>
      <c r="F24" s="570">
        <f t="shared" si="2"/>
        <v>865</v>
      </c>
      <c r="G24" s="165">
        <v>138</v>
      </c>
      <c r="H24" s="165">
        <v>124</v>
      </c>
      <c r="I24" s="165">
        <v>318</v>
      </c>
      <c r="J24" s="165">
        <v>212</v>
      </c>
      <c r="K24" s="570">
        <f t="shared" si="3"/>
        <v>792</v>
      </c>
      <c r="L24" s="165">
        <v>198</v>
      </c>
      <c r="M24" s="165">
        <v>311</v>
      </c>
      <c r="N24" s="165">
        <v>209</v>
      </c>
      <c r="O24" s="165">
        <v>279</v>
      </c>
      <c r="P24" s="570">
        <f t="shared" si="4"/>
        <v>997</v>
      </c>
      <c r="Q24" s="165">
        <v>265</v>
      </c>
      <c r="R24" s="165">
        <v>294</v>
      </c>
      <c r="S24" s="165">
        <v>318</v>
      </c>
      <c r="T24" s="165">
        <v>410</v>
      </c>
      <c r="U24" s="570">
        <f t="shared" si="5"/>
        <v>1287</v>
      </c>
      <c r="V24" s="165">
        <v>370</v>
      </c>
      <c r="W24" s="165">
        <v>412</v>
      </c>
      <c r="X24" s="165">
        <v>468</v>
      </c>
      <c r="Y24" s="165">
        <v>388</v>
      </c>
      <c r="Z24" s="570">
        <f t="shared" si="6"/>
        <v>1638</v>
      </c>
      <c r="AA24" s="165">
        <v>529</v>
      </c>
      <c r="AB24" s="165">
        <v>449</v>
      </c>
      <c r="AC24" s="165">
        <v>465</v>
      </c>
      <c r="AD24" s="165">
        <v>426</v>
      </c>
      <c r="AE24" s="570">
        <f t="shared" si="7"/>
        <v>1869</v>
      </c>
      <c r="AF24" s="165">
        <v>401</v>
      </c>
      <c r="AG24" s="165">
        <v>479</v>
      </c>
      <c r="AH24" s="165">
        <v>857</v>
      </c>
      <c r="AI24" s="165">
        <v>884</v>
      </c>
      <c r="AJ24" s="570">
        <f t="shared" si="8"/>
        <v>2621</v>
      </c>
      <c r="AK24" s="165">
        <v>948</v>
      </c>
      <c r="AL24" s="165">
        <v>746</v>
      </c>
      <c r="AM24" s="165">
        <v>1002</v>
      </c>
      <c r="AN24" s="165">
        <v>1127</v>
      </c>
      <c r="AO24" s="570">
        <f t="shared" si="9"/>
        <v>3823</v>
      </c>
      <c r="AP24" s="165">
        <v>900</v>
      </c>
      <c r="AQ24" s="165">
        <v>1442</v>
      </c>
      <c r="AR24" s="165">
        <v>1069</v>
      </c>
      <c r="AS24" s="165">
        <v>1234</v>
      </c>
      <c r="AT24" s="570">
        <f t="shared" si="10"/>
        <v>4645</v>
      </c>
      <c r="AU24" s="165">
        <v>1139</v>
      </c>
      <c r="AV24" s="165">
        <v>1070</v>
      </c>
      <c r="AW24" s="165">
        <v>1610</v>
      </c>
      <c r="AX24" s="165">
        <v>1770</v>
      </c>
      <c r="AY24" s="570">
        <f t="shared" si="11"/>
        <v>5589</v>
      </c>
      <c r="AZ24" s="165">
        <v>1564</v>
      </c>
      <c r="BA24" s="165">
        <v>1547</v>
      </c>
      <c r="BB24" s="165">
        <v>1993</v>
      </c>
      <c r="BC24" s="220">
        <v>1196</v>
      </c>
      <c r="BD24" s="220">
        <f t="shared" si="0"/>
        <v>6300</v>
      </c>
    </row>
    <row r="25" spans="1:57" s="164" customFormat="1" ht="15" customHeight="1" x14ac:dyDescent="0.2">
      <c r="A25" s="468" t="s">
        <v>534</v>
      </c>
      <c r="B25" s="165">
        <v>-412</v>
      </c>
      <c r="C25" s="165">
        <v>-375</v>
      </c>
      <c r="D25" s="165">
        <v>-314</v>
      </c>
      <c r="E25" s="165">
        <v>-281</v>
      </c>
      <c r="F25" s="570">
        <f t="shared" si="2"/>
        <v>-1382</v>
      </c>
      <c r="G25" s="165">
        <v>-542</v>
      </c>
      <c r="H25" s="165">
        <v>-542</v>
      </c>
      <c r="I25" s="165">
        <v>-541</v>
      </c>
      <c r="J25" s="165">
        <v>-471</v>
      </c>
      <c r="K25" s="570">
        <f t="shared" si="3"/>
        <v>-2096</v>
      </c>
      <c r="L25" s="165">
        <v>-610</v>
      </c>
      <c r="M25" s="165">
        <v>-770</v>
      </c>
      <c r="N25" s="165">
        <v>-748</v>
      </c>
      <c r="O25" s="165">
        <v>-818</v>
      </c>
      <c r="P25" s="570">
        <f t="shared" si="4"/>
        <v>-2946</v>
      </c>
      <c r="Q25" s="165">
        <v>-815</v>
      </c>
      <c r="R25" s="165">
        <v>-882</v>
      </c>
      <c r="S25" s="165">
        <v>-916</v>
      </c>
      <c r="T25" s="165">
        <v>-1056</v>
      </c>
      <c r="U25" s="570">
        <f t="shared" si="5"/>
        <v>-3669</v>
      </c>
      <c r="V25" s="165">
        <v>-1292</v>
      </c>
      <c r="W25" s="165">
        <v>-1176</v>
      </c>
      <c r="X25" s="165">
        <v>-1375</v>
      </c>
      <c r="Y25" s="165">
        <v>-1196</v>
      </c>
      <c r="Z25" s="570">
        <f t="shared" si="6"/>
        <v>-5039</v>
      </c>
      <c r="AA25" s="165">
        <v>-1525</v>
      </c>
      <c r="AB25" s="165">
        <v>-1484</v>
      </c>
      <c r="AC25" s="165">
        <v>-1519</v>
      </c>
      <c r="AD25" s="165">
        <v>-1556</v>
      </c>
      <c r="AE25" s="570">
        <f t="shared" si="7"/>
        <v>-6084</v>
      </c>
      <c r="AF25" s="165">
        <v>-1571</v>
      </c>
      <c r="AG25" s="165">
        <v>-1626</v>
      </c>
      <c r="AH25" s="165">
        <v>-2051</v>
      </c>
      <c r="AI25" s="165">
        <v>-2116</v>
      </c>
      <c r="AJ25" s="570">
        <f t="shared" si="8"/>
        <v>-7364</v>
      </c>
      <c r="AK25" s="165">
        <v>-2339</v>
      </c>
      <c r="AL25" s="165">
        <v>-2079</v>
      </c>
      <c r="AM25" s="165">
        <v>-2313</v>
      </c>
      <c r="AN25" s="165">
        <v>-2487</v>
      </c>
      <c r="AO25" s="570">
        <f t="shared" si="9"/>
        <v>-9218</v>
      </c>
      <c r="AP25" s="165">
        <v>-2812</v>
      </c>
      <c r="AQ25" s="165">
        <v>-3048</v>
      </c>
      <c r="AR25" s="165">
        <v>-2673</v>
      </c>
      <c r="AS25" s="165">
        <v>-2820</v>
      </c>
      <c r="AT25" s="570">
        <f t="shared" si="10"/>
        <v>-11353</v>
      </c>
      <c r="AU25" s="165">
        <v>-2807</v>
      </c>
      <c r="AV25" s="165">
        <v>-3085</v>
      </c>
      <c r="AW25" s="165">
        <v>-3308</v>
      </c>
      <c r="AX25" s="165">
        <v>-3404</v>
      </c>
      <c r="AY25" s="570">
        <f t="shared" si="11"/>
        <v>-12604</v>
      </c>
      <c r="AZ25" s="165">
        <v>-3396</v>
      </c>
      <c r="BA25" s="165">
        <v>-3339</v>
      </c>
      <c r="BB25" s="165">
        <v>-3839</v>
      </c>
      <c r="BC25" s="220">
        <v>-3119</v>
      </c>
      <c r="BD25" s="220">
        <f t="shared" si="0"/>
        <v>-13693</v>
      </c>
    </row>
    <row r="26" spans="1:57" ht="5.0999999999999996" customHeight="1" x14ac:dyDescent="0.2">
      <c r="A26" s="467"/>
      <c r="B26" s="128"/>
      <c r="C26" s="128"/>
      <c r="D26" s="128"/>
      <c r="E26" s="128"/>
      <c r="F26" s="569"/>
      <c r="G26" s="128"/>
      <c r="H26" s="128"/>
      <c r="I26" s="128"/>
      <c r="J26" s="128"/>
      <c r="K26" s="569"/>
      <c r="L26" s="128"/>
      <c r="M26" s="128"/>
      <c r="N26" s="128"/>
      <c r="O26" s="128"/>
      <c r="P26" s="569"/>
      <c r="Q26" s="128"/>
      <c r="R26" s="128"/>
      <c r="S26" s="128"/>
      <c r="T26" s="128"/>
      <c r="U26" s="569"/>
      <c r="V26" s="128"/>
      <c r="W26" s="128"/>
      <c r="X26" s="128"/>
      <c r="Y26" s="128"/>
      <c r="Z26" s="569"/>
      <c r="AA26" s="128"/>
      <c r="AB26" s="128"/>
      <c r="AC26" s="128"/>
      <c r="AD26" s="128"/>
      <c r="AE26" s="569"/>
      <c r="AF26" s="128"/>
      <c r="AG26" s="128"/>
      <c r="AH26" s="128"/>
      <c r="AI26" s="128"/>
      <c r="AJ26" s="569"/>
      <c r="AK26" s="128"/>
      <c r="AL26" s="128"/>
      <c r="AM26" s="128"/>
      <c r="AN26" s="128"/>
      <c r="AO26" s="569"/>
      <c r="AP26" s="128"/>
      <c r="AQ26" s="128"/>
      <c r="AR26" s="128"/>
      <c r="AS26" s="128"/>
      <c r="AT26" s="569"/>
      <c r="AU26" s="128"/>
      <c r="AV26" s="128"/>
      <c r="AW26" s="128"/>
      <c r="AX26" s="128"/>
      <c r="AY26" s="569"/>
      <c r="AZ26" s="128"/>
      <c r="BA26" s="128"/>
      <c r="BB26" s="128"/>
      <c r="BC26" s="219"/>
      <c r="BD26" s="219">
        <f t="shared" si="0"/>
        <v>0</v>
      </c>
      <c r="BE26" s="164"/>
    </row>
    <row r="27" spans="1:57" s="164" customFormat="1" ht="15" customHeight="1" x14ac:dyDescent="0.2">
      <c r="A27" s="469" t="s">
        <v>202</v>
      </c>
      <c r="B27" s="160">
        <f>B14+B16</f>
        <v>2273</v>
      </c>
      <c r="C27" s="160">
        <f>C14+C16</f>
        <v>2408</v>
      </c>
      <c r="D27" s="160">
        <f>D14+D16</f>
        <v>2453</v>
      </c>
      <c r="E27" s="160">
        <f>E14+E16</f>
        <v>2450</v>
      </c>
      <c r="F27" s="568">
        <f t="shared" si="2"/>
        <v>9584</v>
      </c>
      <c r="G27" s="160">
        <f>G14+G16</f>
        <v>2519</v>
      </c>
      <c r="H27" s="160">
        <f>H14+H16</f>
        <v>2697</v>
      </c>
      <c r="I27" s="160">
        <f>I14+I16</f>
        <v>2571</v>
      </c>
      <c r="J27" s="160">
        <f>J14+J16</f>
        <v>2338</v>
      </c>
      <c r="K27" s="568">
        <f t="shared" si="3"/>
        <v>10125</v>
      </c>
      <c r="L27" s="160">
        <f>L14+L16</f>
        <v>2613</v>
      </c>
      <c r="M27" s="160">
        <f>M14+M16</f>
        <v>2680</v>
      </c>
      <c r="N27" s="160">
        <f>N14+N16</f>
        <v>2345</v>
      </c>
      <c r="O27" s="160">
        <f>O14+O16</f>
        <v>2428</v>
      </c>
      <c r="P27" s="568">
        <f t="shared" si="4"/>
        <v>10066</v>
      </c>
      <c r="Q27" s="160">
        <f>Q14+Q16</f>
        <v>3171</v>
      </c>
      <c r="R27" s="160">
        <f>R14+R16</f>
        <v>3646</v>
      </c>
      <c r="S27" s="160">
        <f>S14+S16</f>
        <v>3714</v>
      </c>
      <c r="T27" s="160">
        <f>T14+T16</f>
        <v>3757</v>
      </c>
      <c r="U27" s="568">
        <f t="shared" si="5"/>
        <v>14288</v>
      </c>
      <c r="V27" s="160">
        <f>V14+V16</f>
        <v>3953</v>
      </c>
      <c r="W27" s="160">
        <f>W14+W16</f>
        <v>4128</v>
      </c>
      <c r="X27" s="160">
        <f>X14+X16</f>
        <v>4174</v>
      </c>
      <c r="Y27" s="160">
        <f>Y14+Y16</f>
        <v>4034</v>
      </c>
      <c r="Z27" s="568">
        <f t="shared" si="6"/>
        <v>16289</v>
      </c>
      <c r="AA27" s="160">
        <f>AA14+AA16</f>
        <v>4349</v>
      </c>
      <c r="AB27" s="160">
        <f>AB14+AB16</f>
        <v>4366</v>
      </c>
      <c r="AC27" s="160">
        <f>AC14+AC16</f>
        <v>4388</v>
      </c>
      <c r="AD27" s="160">
        <f>AD14+AD16</f>
        <v>4449</v>
      </c>
      <c r="AE27" s="568">
        <f t="shared" si="7"/>
        <v>17552</v>
      </c>
      <c r="AF27" s="160">
        <f>AF14+AF16</f>
        <v>4547</v>
      </c>
      <c r="AG27" s="160">
        <f>AG14+AG16</f>
        <v>4583</v>
      </c>
      <c r="AH27" s="160">
        <f>AH14+AH16</f>
        <v>4769</v>
      </c>
      <c r="AI27" s="160">
        <f>AI14+AI16</f>
        <v>4945</v>
      </c>
      <c r="AJ27" s="568">
        <f t="shared" si="8"/>
        <v>18844</v>
      </c>
      <c r="AK27" s="160">
        <f>AK14+AK16</f>
        <v>5410</v>
      </c>
      <c r="AL27" s="160">
        <f>AL14+AL16</f>
        <v>6082</v>
      </c>
      <c r="AM27" s="160">
        <f>AM14+AM16</f>
        <v>6100</v>
      </c>
      <c r="AN27" s="160">
        <f>AN14+AN16</f>
        <v>6532</v>
      </c>
      <c r="AO27" s="568">
        <f t="shared" si="9"/>
        <v>24124</v>
      </c>
      <c r="AP27" s="160">
        <f>AP14+AP16</f>
        <v>6649</v>
      </c>
      <c r="AQ27" s="160">
        <f>AQ14+AQ16</f>
        <v>6952</v>
      </c>
      <c r="AR27" s="160">
        <f>AR14+AR16</f>
        <v>6781</v>
      </c>
      <c r="AS27" s="160">
        <f>AS14+AS16</f>
        <v>6854</v>
      </c>
      <c r="AT27" s="568">
        <f t="shared" si="10"/>
        <v>27236</v>
      </c>
      <c r="AU27" s="160">
        <f>AU14+AU16</f>
        <v>6558</v>
      </c>
      <c r="AV27" s="160">
        <f>AV14+AV16</f>
        <v>6175</v>
      </c>
      <c r="AW27" s="160">
        <f>AW14+AW16</f>
        <v>6461</v>
      </c>
      <c r="AX27" s="160">
        <f>AX14+AX16</f>
        <v>5598</v>
      </c>
      <c r="AY27" s="568">
        <f t="shared" si="11"/>
        <v>24792</v>
      </c>
      <c r="AZ27" s="160">
        <f>AZ14+AZ16</f>
        <v>6589</v>
      </c>
      <c r="BA27" s="160">
        <f>BA14+BA16</f>
        <v>6478</v>
      </c>
      <c r="BB27" s="160">
        <f>BB14+BB16</f>
        <v>6752</v>
      </c>
      <c r="BC27" s="219">
        <f>BC14+BC16</f>
        <v>6474</v>
      </c>
      <c r="BD27" s="219">
        <f t="shared" si="0"/>
        <v>26293</v>
      </c>
    </row>
    <row r="28" spans="1:57" s="164" customFormat="1" ht="5.0999999999999996" customHeight="1" x14ac:dyDescent="0.2">
      <c r="A28" s="145"/>
      <c r="B28" s="160"/>
      <c r="C28" s="160"/>
      <c r="D28" s="160"/>
      <c r="E28" s="160"/>
      <c r="F28" s="568"/>
      <c r="G28" s="160"/>
      <c r="H28" s="160"/>
      <c r="I28" s="160"/>
      <c r="J28" s="160"/>
      <c r="K28" s="568"/>
      <c r="L28" s="160"/>
      <c r="M28" s="160"/>
      <c r="N28" s="160"/>
      <c r="O28" s="160"/>
      <c r="P28" s="568"/>
      <c r="Q28" s="160"/>
      <c r="R28" s="160"/>
      <c r="S28" s="160"/>
      <c r="T28" s="160"/>
      <c r="U28" s="568"/>
      <c r="V28" s="160"/>
      <c r="W28" s="160"/>
      <c r="X28" s="160"/>
      <c r="Y28" s="160"/>
      <c r="Z28" s="568"/>
      <c r="AA28" s="160"/>
      <c r="AB28" s="160"/>
      <c r="AC28" s="160"/>
      <c r="AD28" s="160"/>
      <c r="AE28" s="568"/>
      <c r="AF28" s="160"/>
      <c r="AG28" s="160"/>
      <c r="AH28" s="160"/>
      <c r="AI28" s="160"/>
      <c r="AJ28" s="568"/>
      <c r="AK28" s="160"/>
      <c r="AL28" s="160"/>
      <c r="AM28" s="160"/>
      <c r="AN28" s="160"/>
      <c r="AO28" s="568"/>
      <c r="AP28" s="160"/>
      <c r="AQ28" s="160"/>
      <c r="AR28" s="160"/>
      <c r="AS28" s="160"/>
      <c r="AT28" s="568"/>
      <c r="AU28" s="160"/>
      <c r="AV28" s="160"/>
      <c r="AW28" s="160"/>
      <c r="AX28" s="160"/>
      <c r="AY28" s="568"/>
      <c r="AZ28" s="160"/>
      <c r="BA28" s="160"/>
      <c r="BB28" s="160"/>
      <c r="BC28" s="219"/>
      <c r="BD28" s="219">
        <f t="shared" si="0"/>
        <v>0</v>
      </c>
    </row>
    <row r="29" spans="1:57" s="164" customFormat="1" ht="15" customHeight="1" x14ac:dyDescent="0.2">
      <c r="A29" s="469" t="s">
        <v>203</v>
      </c>
      <c r="B29" s="160">
        <v>5</v>
      </c>
      <c r="C29" s="160">
        <v>8</v>
      </c>
      <c r="D29" s="160">
        <v>7</v>
      </c>
      <c r="E29" s="160">
        <v>49</v>
      </c>
      <c r="F29" s="568">
        <f t="shared" si="2"/>
        <v>69</v>
      </c>
      <c r="G29" s="160">
        <v>64</v>
      </c>
      <c r="H29" s="160">
        <v>58</v>
      </c>
      <c r="I29" s="160">
        <v>45</v>
      </c>
      <c r="J29" s="160">
        <v>96</v>
      </c>
      <c r="K29" s="568">
        <f t="shared" si="3"/>
        <v>263</v>
      </c>
      <c r="L29" s="160">
        <v>72</v>
      </c>
      <c r="M29" s="160">
        <v>37</v>
      </c>
      <c r="N29" s="160">
        <v>63</v>
      </c>
      <c r="O29" s="160">
        <v>-62</v>
      </c>
      <c r="P29" s="568">
        <f t="shared" si="4"/>
        <v>110</v>
      </c>
      <c r="Q29" s="160">
        <v>4</v>
      </c>
      <c r="R29" s="160">
        <v>-12</v>
      </c>
      <c r="S29" s="160">
        <v>-10</v>
      </c>
      <c r="T29" s="160">
        <v>10</v>
      </c>
      <c r="U29" s="568">
        <f t="shared" si="5"/>
        <v>-8</v>
      </c>
      <c r="V29" s="160">
        <v>-4</v>
      </c>
      <c r="W29" s="160">
        <v>-7</v>
      </c>
      <c r="X29" s="160">
        <v>10</v>
      </c>
      <c r="Y29" s="160">
        <v>4</v>
      </c>
      <c r="Z29" s="568">
        <f t="shared" si="6"/>
        <v>3</v>
      </c>
      <c r="AA29" s="160">
        <v>-18</v>
      </c>
      <c r="AB29" s="160">
        <v>-22</v>
      </c>
      <c r="AC29" s="160">
        <v>-20</v>
      </c>
      <c r="AD29" s="160">
        <v>-29</v>
      </c>
      <c r="AE29" s="568">
        <f t="shared" si="7"/>
        <v>-89</v>
      </c>
      <c r="AF29" s="160">
        <v>-38</v>
      </c>
      <c r="AG29" s="160">
        <v>-24</v>
      </c>
      <c r="AH29" s="160">
        <v>-27</v>
      </c>
      <c r="AI29" s="160">
        <v>-31</v>
      </c>
      <c r="AJ29" s="568">
        <f t="shared" si="8"/>
        <v>-120</v>
      </c>
      <c r="AK29" s="160">
        <v>-36</v>
      </c>
      <c r="AL29" s="160">
        <v>-34</v>
      </c>
      <c r="AM29" s="160">
        <v>-45</v>
      </c>
      <c r="AN29" s="160">
        <v>-68</v>
      </c>
      <c r="AO29" s="568">
        <f t="shared" si="9"/>
        <v>-183</v>
      </c>
      <c r="AP29" s="160">
        <v>-68</v>
      </c>
      <c r="AQ29" s="160">
        <v>-55</v>
      </c>
      <c r="AR29" s="160">
        <v>-92</v>
      </c>
      <c r="AS29" s="160">
        <v>-68</v>
      </c>
      <c r="AT29" s="568">
        <f t="shared" si="10"/>
        <v>-283</v>
      </c>
      <c r="AU29" s="160">
        <v>-87</v>
      </c>
      <c r="AV29" s="160">
        <v>-56</v>
      </c>
      <c r="AW29" s="160">
        <v>-24</v>
      </c>
      <c r="AX29" s="160">
        <v>-13</v>
      </c>
      <c r="AY29" s="568">
        <f t="shared" si="11"/>
        <v>-180</v>
      </c>
      <c r="AZ29" s="160">
        <v>-52</v>
      </c>
      <c r="BA29" s="160">
        <v>-34</v>
      </c>
      <c r="BB29" s="160">
        <v>-25</v>
      </c>
      <c r="BC29" s="219">
        <v>-16</v>
      </c>
      <c r="BD29" s="219">
        <f t="shared" si="0"/>
        <v>-127</v>
      </c>
    </row>
    <row r="30" spans="1:57" s="164" customFormat="1" ht="5.0999999999999996" customHeight="1" x14ac:dyDescent="0.2">
      <c r="A30" s="145"/>
      <c r="B30" s="160"/>
      <c r="C30" s="160"/>
      <c r="D30" s="160"/>
      <c r="E30" s="160"/>
      <c r="F30" s="568"/>
      <c r="G30" s="160"/>
      <c r="H30" s="160"/>
      <c r="I30" s="160"/>
      <c r="J30" s="160"/>
      <c r="K30" s="568"/>
      <c r="L30" s="160"/>
      <c r="M30" s="160"/>
      <c r="N30" s="160"/>
      <c r="O30" s="160"/>
      <c r="P30" s="568"/>
      <c r="Q30" s="160"/>
      <c r="R30" s="160"/>
      <c r="S30" s="160"/>
      <c r="T30" s="160"/>
      <c r="U30" s="568"/>
      <c r="V30" s="160"/>
      <c r="W30" s="160"/>
      <c r="X30" s="160"/>
      <c r="Y30" s="160"/>
      <c r="Z30" s="568"/>
      <c r="AA30" s="160"/>
      <c r="AB30" s="160"/>
      <c r="AC30" s="160"/>
      <c r="AD30" s="160"/>
      <c r="AE30" s="568"/>
      <c r="AF30" s="160"/>
      <c r="AG30" s="160"/>
      <c r="AH30" s="160"/>
      <c r="AI30" s="160"/>
      <c r="AJ30" s="568"/>
      <c r="AK30" s="160"/>
      <c r="AL30" s="160"/>
      <c r="AM30" s="160"/>
      <c r="AN30" s="160"/>
      <c r="AO30" s="568"/>
      <c r="AP30" s="160"/>
      <c r="AQ30" s="160"/>
      <c r="AR30" s="160"/>
      <c r="AS30" s="160"/>
      <c r="AT30" s="568"/>
      <c r="AU30" s="160"/>
      <c r="AV30" s="160"/>
      <c r="AW30" s="160"/>
      <c r="AX30" s="160"/>
      <c r="AY30" s="568"/>
      <c r="AZ30" s="160"/>
      <c r="BA30" s="160"/>
      <c r="BB30" s="160"/>
      <c r="BC30" s="219"/>
      <c r="BD30" s="219">
        <f t="shared" si="0"/>
        <v>0</v>
      </c>
    </row>
    <row r="31" spans="1:57" s="164" customFormat="1" ht="15" customHeight="1" x14ac:dyDescent="0.2">
      <c r="A31" s="469" t="s">
        <v>204</v>
      </c>
      <c r="B31" s="160">
        <f t="shared" ref="B31:AU31" si="12">B27+B29</f>
        <v>2278</v>
      </c>
      <c r="C31" s="160">
        <f t="shared" si="12"/>
        <v>2416</v>
      </c>
      <c r="D31" s="160">
        <f t="shared" si="12"/>
        <v>2460</v>
      </c>
      <c r="E31" s="160">
        <f t="shared" si="12"/>
        <v>2499</v>
      </c>
      <c r="F31" s="568">
        <f t="shared" si="2"/>
        <v>9653</v>
      </c>
      <c r="G31" s="160">
        <f t="shared" si="12"/>
        <v>2583</v>
      </c>
      <c r="H31" s="160">
        <f t="shared" si="12"/>
        <v>2755</v>
      </c>
      <c r="I31" s="160">
        <f t="shared" si="12"/>
        <v>2616</v>
      </c>
      <c r="J31" s="160">
        <f t="shared" si="12"/>
        <v>2434</v>
      </c>
      <c r="K31" s="568">
        <f t="shared" si="3"/>
        <v>10388</v>
      </c>
      <c r="L31" s="160">
        <f t="shared" si="12"/>
        <v>2685</v>
      </c>
      <c r="M31" s="160">
        <f t="shared" si="12"/>
        <v>2717</v>
      </c>
      <c r="N31" s="160">
        <f t="shared" si="12"/>
        <v>2408</v>
      </c>
      <c r="O31" s="160">
        <f t="shared" si="12"/>
        <v>2366</v>
      </c>
      <c r="P31" s="568">
        <f t="shared" si="4"/>
        <v>10176</v>
      </c>
      <c r="Q31" s="160">
        <f t="shared" si="12"/>
        <v>3175</v>
      </c>
      <c r="R31" s="160">
        <f t="shared" si="12"/>
        <v>3634</v>
      </c>
      <c r="S31" s="160">
        <f t="shared" si="12"/>
        <v>3704</v>
      </c>
      <c r="T31" s="160">
        <f t="shared" si="12"/>
        <v>3767</v>
      </c>
      <c r="U31" s="568">
        <f t="shared" si="5"/>
        <v>14280</v>
      </c>
      <c r="V31" s="160">
        <f t="shared" si="12"/>
        <v>3949</v>
      </c>
      <c r="W31" s="160">
        <f t="shared" si="12"/>
        <v>4121</v>
      </c>
      <c r="X31" s="160">
        <f t="shared" si="12"/>
        <v>4184</v>
      </c>
      <c r="Y31" s="160">
        <f t="shared" si="12"/>
        <v>4038</v>
      </c>
      <c r="Z31" s="568">
        <f t="shared" si="6"/>
        <v>16292</v>
      </c>
      <c r="AA31" s="160">
        <f t="shared" si="12"/>
        <v>4331</v>
      </c>
      <c r="AB31" s="160">
        <f t="shared" si="12"/>
        <v>4344</v>
      </c>
      <c r="AC31" s="160">
        <f t="shared" si="12"/>
        <v>4368</v>
      </c>
      <c r="AD31" s="160">
        <f t="shared" si="12"/>
        <v>4420</v>
      </c>
      <c r="AE31" s="568">
        <f t="shared" si="7"/>
        <v>17463</v>
      </c>
      <c r="AF31" s="160">
        <f t="shared" si="12"/>
        <v>4509</v>
      </c>
      <c r="AG31" s="160">
        <f t="shared" si="12"/>
        <v>4559</v>
      </c>
      <c r="AH31" s="160">
        <f t="shared" si="12"/>
        <v>4742</v>
      </c>
      <c r="AI31" s="160">
        <f t="shared" si="12"/>
        <v>4914</v>
      </c>
      <c r="AJ31" s="568">
        <f t="shared" si="8"/>
        <v>18724</v>
      </c>
      <c r="AK31" s="160">
        <f t="shared" si="12"/>
        <v>5374</v>
      </c>
      <c r="AL31" s="160">
        <f t="shared" si="12"/>
        <v>6048</v>
      </c>
      <c r="AM31" s="160">
        <f t="shared" si="12"/>
        <v>6055</v>
      </c>
      <c r="AN31" s="160">
        <f t="shared" si="12"/>
        <v>6464</v>
      </c>
      <c r="AO31" s="568">
        <f t="shared" si="9"/>
        <v>23941</v>
      </c>
      <c r="AP31" s="160">
        <f t="shared" si="12"/>
        <v>6581</v>
      </c>
      <c r="AQ31" s="160">
        <f t="shared" si="12"/>
        <v>6897</v>
      </c>
      <c r="AR31" s="160">
        <f t="shared" si="12"/>
        <v>6689</v>
      </c>
      <c r="AS31" s="160">
        <f t="shared" si="12"/>
        <v>6786</v>
      </c>
      <c r="AT31" s="568">
        <f t="shared" si="10"/>
        <v>26953</v>
      </c>
      <c r="AU31" s="160">
        <f t="shared" si="12"/>
        <v>6471</v>
      </c>
      <c r="AV31" s="160">
        <f>AV27+AV29</f>
        <v>6119</v>
      </c>
      <c r="AW31" s="160">
        <f>AW27+AW29</f>
        <v>6437</v>
      </c>
      <c r="AX31" s="160">
        <f>AX27+AX29</f>
        <v>5585</v>
      </c>
      <c r="AY31" s="568">
        <f t="shared" si="11"/>
        <v>24612</v>
      </c>
      <c r="AZ31" s="160">
        <f t="shared" ref="AZ31:BC31" si="13">AZ27+AZ29</f>
        <v>6537</v>
      </c>
      <c r="BA31" s="160">
        <f t="shared" si="13"/>
        <v>6444</v>
      </c>
      <c r="BB31" s="160">
        <f t="shared" si="13"/>
        <v>6727</v>
      </c>
      <c r="BC31" s="219">
        <f t="shared" si="13"/>
        <v>6458</v>
      </c>
      <c r="BD31" s="219">
        <f t="shared" si="0"/>
        <v>26166</v>
      </c>
    </row>
    <row r="32" spans="1:57" s="164" customFormat="1" ht="5.0999999999999996" customHeight="1" x14ac:dyDescent="0.2">
      <c r="A32" s="145"/>
      <c r="B32" s="160"/>
      <c r="C32" s="160"/>
      <c r="D32" s="160"/>
      <c r="E32" s="160"/>
      <c r="F32" s="568"/>
      <c r="G32" s="160"/>
      <c r="H32" s="160"/>
      <c r="I32" s="160"/>
      <c r="J32" s="160"/>
      <c r="K32" s="568"/>
      <c r="L32" s="160"/>
      <c r="M32" s="160"/>
      <c r="N32" s="160"/>
      <c r="O32" s="160"/>
      <c r="P32" s="568"/>
      <c r="Q32" s="160"/>
      <c r="R32" s="160"/>
      <c r="S32" s="160"/>
      <c r="T32" s="160"/>
      <c r="U32" s="568"/>
      <c r="V32" s="160"/>
      <c r="W32" s="160"/>
      <c r="X32" s="160"/>
      <c r="Y32" s="160"/>
      <c r="Z32" s="568"/>
      <c r="AA32" s="160"/>
      <c r="AB32" s="160"/>
      <c r="AC32" s="160"/>
      <c r="AD32" s="160"/>
      <c r="AE32" s="568"/>
      <c r="AF32" s="160"/>
      <c r="AG32" s="160"/>
      <c r="AH32" s="160"/>
      <c r="AI32" s="160"/>
      <c r="AJ32" s="568"/>
      <c r="AK32" s="160"/>
      <c r="AL32" s="160"/>
      <c r="AM32" s="160"/>
      <c r="AN32" s="160"/>
      <c r="AO32" s="568"/>
      <c r="AP32" s="160"/>
      <c r="AQ32" s="160"/>
      <c r="AR32" s="160"/>
      <c r="AS32" s="160"/>
      <c r="AT32" s="568"/>
      <c r="AU32" s="160"/>
      <c r="AV32" s="160"/>
      <c r="AW32" s="160"/>
      <c r="AX32" s="160"/>
      <c r="AY32" s="568"/>
      <c r="AZ32" s="160"/>
      <c r="BA32" s="160"/>
      <c r="BB32" s="160"/>
      <c r="BC32" s="219"/>
      <c r="BD32" s="219">
        <f t="shared" si="0"/>
        <v>0</v>
      </c>
    </row>
    <row r="33" spans="1:56" s="164" customFormat="1" ht="15" customHeight="1" x14ac:dyDescent="0.2">
      <c r="A33" s="469" t="s">
        <v>205</v>
      </c>
      <c r="B33" s="160">
        <v>-570</v>
      </c>
      <c r="C33" s="160">
        <v>-613</v>
      </c>
      <c r="D33" s="160">
        <v>-607</v>
      </c>
      <c r="E33" s="160">
        <v>-642</v>
      </c>
      <c r="F33" s="568">
        <f t="shared" si="2"/>
        <v>-2432</v>
      </c>
      <c r="G33" s="160">
        <v>-672</v>
      </c>
      <c r="H33" s="160">
        <v>-750</v>
      </c>
      <c r="I33" s="160">
        <v>-696</v>
      </c>
      <c r="J33" s="160">
        <v>-611</v>
      </c>
      <c r="K33" s="568">
        <f t="shared" si="3"/>
        <v>-2729</v>
      </c>
      <c r="L33" s="160">
        <v>-723</v>
      </c>
      <c r="M33" s="160">
        <v>-717</v>
      </c>
      <c r="N33" s="160">
        <v>-607</v>
      </c>
      <c r="O33" s="160">
        <v>-519</v>
      </c>
      <c r="P33" s="568">
        <f t="shared" si="4"/>
        <v>-2566</v>
      </c>
      <c r="Q33" s="160">
        <v>-1010</v>
      </c>
      <c r="R33" s="160">
        <v>-1161</v>
      </c>
      <c r="S33" s="160">
        <v>-1123</v>
      </c>
      <c r="T33" s="160">
        <v>-1059</v>
      </c>
      <c r="U33" s="568">
        <f t="shared" si="5"/>
        <v>-4353</v>
      </c>
      <c r="V33" s="160">
        <v>-1138</v>
      </c>
      <c r="W33" s="160">
        <v>-1271</v>
      </c>
      <c r="X33" s="160">
        <v>-1304</v>
      </c>
      <c r="Y33" s="160">
        <v>-1241</v>
      </c>
      <c r="Z33" s="568">
        <f t="shared" si="6"/>
        <v>-4954</v>
      </c>
      <c r="AA33" s="160">
        <v>-1468</v>
      </c>
      <c r="AB33" s="160">
        <v>-1461</v>
      </c>
      <c r="AC33" s="160">
        <v>-1455</v>
      </c>
      <c r="AD33" s="160">
        <v>-1488</v>
      </c>
      <c r="AE33" s="568">
        <f t="shared" si="7"/>
        <v>-5872</v>
      </c>
      <c r="AF33" s="160">
        <v>-1538</v>
      </c>
      <c r="AG33" s="160">
        <v>-1553</v>
      </c>
      <c r="AH33" s="160">
        <v>-1638</v>
      </c>
      <c r="AI33" s="160">
        <v>-1696</v>
      </c>
      <c r="AJ33" s="568">
        <f t="shared" si="8"/>
        <v>-6425</v>
      </c>
      <c r="AK33" s="160">
        <v>-1871</v>
      </c>
      <c r="AL33" s="160">
        <v>-2215</v>
      </c>
      <c r="AM33" s="160">
        <v>-2075</v>
      </c>
      <c r="AN33" s="160">
        <v>-2308</v>
      </c>
      <c r="AO33" s="568">
        <f t="shared" si="9"/>
        <v>-8469</v>
      </c>
      <c r="AP33" s="160">
        <v>-2275</v>
      </c>
      <c r="AQ33" s="160">
        <v>-2351</v>
      </c>
      <c r="AR33" s="160">
        <v>-2124</v>
      </c>
      <c r="AS33" s="160">
        <v>-2183</v>
      </c>
      <c r="AT33" s="568">
        <f t="shared" si="10"/>
        <v>-8933</v>
      </c>
      <c r="AU33" s="160">
        <v>-2312</v>
      </c>
      <c r="AV33" s="160">
        <v>-1921</v>
      </c>
      <c r="AW33" s="160">
        <v>-1948</v>
      </c>
      <c r="AX33" s="160">
        <v>-1157</v>
      </c>
      <c r="AY33" s="568">
        <f t="shared" si="11"/>
        <v>-7338</v>
      </c>
      <c r="AZ33" s="160">
        <v>-1840</v>
      </c>
      <c r="BA33" s="160">
        <v>-1699</v>
      </c>
      <c r="BB33" s="160">
        <v>-1771</v>
      </c>
      <c r="BC33" s="219">
        <v>-1543</v>
      </c>
      <c r="BD33" s="219">
        <f t="shared" si="0"/>
        <v>-6853</v>
      </c>
    </row>
    <row r="34" spans="1:56" s="164" customFormat="1" ht="5.0999999999999996" customHeight="1" x14ac:dyDescent="0.2">
      <c r="A34" s="145"/>
      <c r="B34" s="160"/>
      <c r="C34" s="160"/>
      <c r="D34" s="160"/>
      <c r="E34" s="160"/>
      <c r="F34" s="568"/>
      <c r="G34" s="160"/>
      <c r="H34" s="160"/>
      <c r="I34" s="160"/>
      <c r="J34" s="160"/>
      <c r="K34" s="568"/>
      <c r="L34" s="160"/>
      <c r="M34" s="160"/>
      <c r="N34" s="160"/>
      <c r="O34" s="160"/>
      <c r="P34" s="568"/>
      <c r="Q34" s="160"/>
      <c r="R34" s="160"/>
      <c r="S34" s="160"/>
      <c r="T34" s="160"/>
      <c r="U34" s="568"/>
      <c r="V34" s="160"/>
      <c r="W34" s="160"/>
      <c r="X34" s="160"/>
      <c r="Y34" s="160"/>
      <c r="Z34" s="568"/>
      <c r="AA34" s="160"/>
      <c r="AB34" s="160"/>
      <c r="AC34" s="160"/>
      <c r="AD34" s="160"/>
      <c r="AE34" s="568"/>
      <c r="AF34" s="160"/>
      <c r="AG34" s="160"/>
      <c r="AH34" s="160"/>
      <c r="AI34" s="160"/>
      <c r="AJ34" s="568"/>
      <c r="AK34" s="160"/>
      <c r="AL34" s="160"/>
      <c r="AM34" s="160"/>
      <c r="AN34" s="160"/>
      <c r="AO34" s="568"/>
      <c r="AP34" s="160"/>
      <c r="AQ34" s="160"/>
      <c r="AR34" s="160"/>
      <c r="AS34" s="160"/>
      <c r="AT34" s="568"/>
      <c r="AU34" s="160"/>
      <c r="AV34" s="160"/>
      <c r="AW34" s="160"/>
      <c r="AX34" s="160"/>
      <c r="AY34" s="568"/>
      <c r="AZ34" s="160"/>
      <c r="BA34" s="160"/>
      <c r="BB34" s="160"/>
      <c r="BC34" s="219"/>
      <c r="BD34" s="219">
        <f t="shared" si="0"/>
        <v>0</v>
      </c>
    </row>
    <row r="35" spans="1:56" s="164" customFormat="1" ht="15" customHeight="1" x14ac:dyDescent="0.2">
      <c r="A35" s="469" t="s">
        <v>83</v>
      </c>
      <c r="B35" s="160">
        <v>-3</v>
      </c>
      <c r="C35" s="160">
        <v>-2</v>
      </c>
      <c r="D35" s="160">
        <v>-3</v>
      </c>
      <c r="E35" s="160">
        <v>-3</v>
      </c>
      <c r="F35" s="568">
        <f t="shared" si="2"/>
        <v>-11</v>
      </c>
      <c r="G35" s="160">
        <v>-4</v>
      </c>
      <c r="H35" s="160">
        <v>-3</v>
      </c>
      <c r="I35" s="160">
        <v>-10</v>
      </c>
      <c r="J35" s="160">
        <v>-17</v>
      </c>
      <c r="K35" s="568">
        <f t="shared" si="3"/>
        <v>-34</v>
      </c>
      <c r="L35" s="160">
        <v>-6</v>
      </c>
      <c r="M35" s="160">
        <v>-4</v>
      </c>
      <c r="N35" s="160">
        <v>-6</v>
      </c>
      <c r="O35" s="160">
        <v>-8</v>
      </c>
      <c r="P35" s="568">
        <f t="shared" si="4"/>
        <v>-24</v>
      </c>
      <c r="Q35" s="160">
        <v>-18</v>
      </c>
      <c r="R35" s="160">
        <v>-18</v>
      </c>
      <c r="S35" s="160">
        <v>-63</v>
      </c>
      <c r="T35" s="160">
        <v>-24</v>
      </c>
      <c r="U35" s="568">
        <f t="shared" si="5"/>
        <v>-123</v>
      </c>
      <c r="V35" s="160">
        <v>-73</v>
      </c>
      <c r="W35" s="160">
        <v>-25</v>
      </c>
      <c r="X35" s="160">
        <v>-16</v>
      </c>
      <c r="Y35" s="160">
        <v>-26</v>
      </c>
      <c r="Z35" s="568">
        <f t="shared" si="6"/>
        <v>-140</v>
      </c>
      <c r="AA35" s="160">
        <v>-18</v>
      </c>
      <c r="AB35" s="160">
        <v>-16</v>
      </c>
      <c r="AC35" s="160">
        <v>-20</v>
      </c>
      <c r="AD35" s="160">
        <v>-14</v>
      </c>
      <c r="AE35" s="568">
        <f t="shared" si="7"/>
        <v>-68</v>
      </c>
      <c r="AF35" s="160">
        <v>-28</v>
      </c>
      <c r="AG35" s="160">
        <v>-28</v>
      </c>
      <c r="AH35" s="160">
        <v>-22</v>
      </c>
      <c r="AI35" s="160">
        <v>-19</v>
      </c>
      <c r="AJ35" s="568">
        <f t="shared" si="8"/>
        <v>-97</v>
      </c>
      <c r="AK35" s="160">
        <v>-30</v>
      </c>
      <c r="AL35" s="160">
        <v>-29</v>
      </c>
      <c r="AM35" s="160">
        <v>-30</v>
      </c>
      <c r="AN35" s="160">
        <v>-24</v>
      </c>
      <c r="AO35" s="568">
        <f t="shared" si="9"/>
        <v>-113</v>
      </c>
      <c r="AP35" s="160">
        <v>-32</v>
      </c>
      <c r="AQ35" s="160">
        <v>-42</v>
      </c>
      <c r="AR35" s="160">
        <v>-32</v>
      </c>
      <c r="AS35" s="160">
        <v>-41</v>
      </c>
      <c r="AT35" s="568">
        <f t="shared" si="10"/>
        <v>-147</v>
      </c>
      <c r="AU35" s="160">
        <v>-46</v>
      </c>
      <c r="AV35" s="160">
        <v>-37</v>
      </c>
      <c r="AW35" s="160">
        <v>-27</v>
      </c>
      <c r="AX35" s="160">
        <v>-43</v>
      </c>
      <c r="AY35" s="568">
        <f t="shared" si="11"/>
        <v>-153</v>
      </c>
      <c r="AZ35" s="160">
        <v>-49</v>
      </c>
      <c r="BA35" s="160">
        <v>-41</v>
      </c>
      <c r="BB35" s="160">
        <v>-146</v>
      </c>
      <c r="BC35" s="219">
        <v>-53</v>
      </c>
      <c r="BD35" s="219">
        <f t="shared" si="0"/>
        <v>-289</v>
      </c>
    </row>
    <row r="36" spans="1:56" s="164" customFormat="1" ht="5.0999999999999996" customHeight="1" x14ac:dyDescent="0.2">
      <c r="A36" s="145"/>
      <c r="B36" s="160"/>
      <c r="C36" s="160"/>
      <c r="D36" s="160"/>
      <c r="E36" s="160"/>
      <c r="F36" s="160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0"/>
      <c r="T36" s="160"/>
      <c r="U36" s="160"/>
      <c r="V36" s="160"/>
      <c r="W36" s="160"/>
      <c r="X36" s="160"/>
      <c r="Y36" s="160"/>
      <c r="Z36" s="160"/>
      <c r="AA36" s="160"/>
      <c r="AB36" s="160"/>
      <c r="AC36" s="160"/>
      <c r="AD36" s="160"/>
      <c r="AE36" s="160"/>
      <c r="AF36" s="160"/>
      <c r="AG36" s="160"/>
      <c r="AH36" s="160"/>
      <c r="AI36" s="160"/>
      <c r="AJ36" s="160"/>
      <c r="AK36" s="160"/>
      <c r="AL36" s="160"/>
      <c r="AM36" s="160"/>
      <c r="AN36" s="160"/>
      <c r="AO36" s="160"/>
      <c r="AP36" s="160"/>
      <c r="AQ36" s="160"/>
      <c r="AR36" s="160"/>
      <c r="AS36" s="160"/>
      <c r="AT36" s="160"/>
      <c r="AU36" s="160"/>
      <c r="AV36" s="160"/>
      <c r="AW36" s="160"/>
      <c r="AX36" s="160"/>
      <c r="AY36" s="160"/>
      <c r="AZ36" s="160"/>
      <c r="BA36" s="160"/>
      <c r="BB36" s="160"/>
      <c r="BC36" s="160"/>
      <c r="BD36" s="160"/>
    </row>
    <row r="37" spans="1:56" s="149" customFormat="1" ht="15" customHeight="1" thickBot="1" x14ac:dyDescent="0.25">
      <c r="A37" s="175" t="s">
        <v>675</v>
      </c>
      <c r="B37" s="176">
        <f t="shared" ref="B37:BD37" si="14">B31+B33+B35</f>
        <v>1705</v>
      </c>
      <c r="C37" s="176">
        <f t="shared" si="14"/>
        <v>1801</v>
      </c>
      <c r="D37" s="176">
        <f t="shared" si="14"/>
        <v>1850</v>
      </c>
      <c r="E37" s="176">
        <f t="shared" si="14"/>
        <v>1854</v>
      </c>
      <c r="F37" s="176">
        <f t="shared" si="14"/>
        <v>7210</v>
      </c>
      <c r="G37" s="176">
        <f t="shared" si="14"/>
        <v>1907</v>
      </c>
      <c r="H37" s="176">
        <f t="shared" si="14"/>
        <v>2002</v>
      </c>
      <c r="I37" s="176">
        <f t="shared" si="14"/>
        <v>1910</v>
      </c>
      <c r="J37" s="176">
        <f t="shared" si="14"/>
        <v>1806</v>
      </c>
      <c r="K37" s="176">
        <f t="shared" si="14"/>
        <v>7625</v>
      </c>
      <c r="L37" s="176">
        <f t="shared" si="14"/>
        <v>1956</v>
      </c>
      <c r="M37" s="176">
        <f t="shared" si="14"/>
        <v>1996</v>
      </c>
      <c r="N37" s="176">
        <f t="shared" si="14"/>
        <v>1795</v>
      </c>
      <c r="O37" s="176">
        <f t="shared" si="14"/>
        <v>1839</v>
      </c>
      <c r="P37" s="176">
        <f t="shared" si="14"/>
        <v>7586</v>
      </c>
      <c r="Q37" s="176">
        <f t="shared" si="14"/>
        <v>2147</v>
      </c>
      <c r="R37" s="176">
        <f t="shared" si="14"/>
        <v>2455</v>
      </c>
      <c r="S37" s="176">
        <f t="shared" si="14"/>
        <v>2518</v>
      </c>
      <c r="T37" s="176">
        <f t="shared" si="14"/>
        <v>2684</v>
      </c>
      <c r="U37" s="176">
        <f t="shared" si="14"/>
        <v>9804</v>
      </c>
      <c r="V37" s="176">
        <f t="shared" si="14"/>
        <v>2738</v>
      </c>
      <c r="W37" s="176">
        <f t="shared" si="14"/>
        <v>2825</v>
      </c>
      <c r="X37" s="176">
        <f t="shared" si="14"/>
        <v>2864</v>
      </c>
      <c r="Y37" s="176">
        <f t="shared" si="14"/>
        <v>2771</v>
      </c>
      <c r="Z37" s="176">
        <f t="shared" si="14"/>
        <v>11198</v>
      </c>
      <c r="AA37" s="176">
        <f t="shared" si="14"/>
        <v>2845</v>
      </c>
      <c r="AB37" s="176">
        <f t="shared" si="14"/>
        <v>2867</v>
      </c>
      <c r="AC37" s="176">
        <f t="shared" si="14"/>
        <v>2893</v>
      </c>
      <c r="AD37" s="176">
        <f t="shared" si="14"/>
        <v>2918</v>
      </c>
      <c r="AE37" s="176">
        <f t="shared" si="14"/>
        <v>11523</v>
      </c>
      <c r="AF37" s="176">
        <f t="shared" si="14"/>
        <v>2943</v>
      </c>
      <c r="AG37" s="176">
        <f t="shared" si="14"/>
        <v>2978</v>
      </c>
      <c r="AH37" s="176">
        <f t="shared" si="14"/>
        <v>3082</v>
      </c>
      <c r="AI37" s="176">
        <f t="shared" si="14"/>
        <v>3199</v>
      </c>
      <c r="AJ37" s="176">
        <f t="shared" si="14"/>
        <v>12202</v>
      </c>
      <c r="AK37" s="176">
        <f t="shared" si="14"/>
        <v>3473</v>
      </c>
      <c r="AL37" s="176">
        <f t="shared" si="14"/>
        <v>3804</v>
      </c>
      <c r="AM37" s="176">
        <f t="shared" si="14"/>
        <v>3950</v>
      </c>
      <c r="AN37" s="176">
        <f t="shared" si="14"/>
        <v>4132</v>
      </c>
      <c r="AO37" s="176">
        <f t="shared" si="14"/>
        <v>15359</v>
      </c>
      <c r="AP37" s="176">
        <f t="shared" si="14"/>
        <v>4274</v>
      </c>
      <c r="AQ37" s="176">
        <f t="shared" si="14"/>
        <v>4504</v>
      </c>
      <c r="AR37" s="176">
        <f t="shared" si="14"/>
        <v>4533</v>
      </c>
      <c r="AS37" s="176">
        <f t="shared" si="14"/>
        <v>4562</v>
      </c>
      <c r="AT37" s="176">
        <f t="shared" si="14"/>
        <v>17873</v>
      </c>
      <c r="AU37" s="176">
        <f t="shared" si="14"/>
        <v>4113</v>
      </c>
      <c r="AV37" s="176">
        <f t="shared" si="14"/>
        <v>4161</v>
      </c>
      <c r="AW37" s="176">
        <f t="shared" si="14"/>
        <v>4462</v>
      </c>
      <c r="AX37" s="176">
        <f t="shared" si="14"/>
        <v>4385</v>
      </c>
      <c r="AY37" s="176">
        <f t="shared" si="14"/>
        <v>17121</v>
      </c>
      <c r="AZ37" s="176">
        <f t="shared" si="14"/>
        <v>4648</v>
      </c>
      <c r="BA37" s="176">
        <f t="shared" si="14"/>
        <v>4704</v>
      </c>
      <c r="BB37" s="176">
        <f t="shared" si="14"/>
        <v>4810</v>
      </c>
      <c r="BC37" s="176">
        <f t="shared" si="14"/>
        <v>4862</v>
      </c>
      <c r="BD37" s="176">
        <f t="shared" si="14"/>
        <v>19024</v>
      </c>
    </row>
    <row r="38" spans="1:56" ht="13.5" customHeight="1" thickTop="1" x14ac:dyDescent="0.2">
      <c r="A38" s="471"/>
      <c r="B38" s="5"/>
      <c r="C38" s="5"/>
      <c r="D38" s="5"/>
      <c r="E38" s="5"/>
      <c r="F38" s="5"/>
      <c r="G38" s="5"/>
      <c r="K38" s="5"/>
      <c r="L38" s="8"/>
      <c r="P38" s="5"/>
      <c r="U38" s="5"/>
      <c r="Z38" s="5"/>
      <c r="AE38" s="5"/>
      <c r="AF38" s="1"/>
      <c r="AJ38" s="5"/>
      <c r="AO38" s="5"/>
      <c r="AT38" s="5"/>
      <c r="AY38" s="5"/>
      <c r="BC38" s="5"/>
      <c r="BD38" s="5"/>
    </row>
    <row r="39" spans="1:56" ht="15" customHeight="1" x14ac:dyDescent="0.2">
      <c r="B39" s="501"/>
      <c r="C39" s="501"/>
      <c r="D39" s="501"/>
      <c r="E39" s="501"/>
      <c r="F39" s="501"/>
      <c r="G39" s="501"/>
      <c r="H39" s="501"/>
      <c r="I39" s="501"/>
      <c r="J39" s="501"/>
      <c r="K39" s="501"/>
      <c r="L39" s="501"/>
      <c r="M39" s="501"/>
      <c r="N39" s="501"/>
      <c r="O39" s="501"/>
      <c r="P39" s="501"/>
      <c r="Q39" s="501"/>
      <c r="R39" s="501"/>
      <c r="S39" s="501"/>
      <c r="T39" s="501"/>
      <c r="U39" s="501"/>
      <c r="V39" s="501"/>
      <c r="W39" s="501"/>
      <c r="X39" s="501"/>
      <c r="Y39" s="501"/>
      <c r="Z39" s="501"/>
      <c r="AA39" s="501"/>
      <c r="AB39" s="501"/>
      <c r="AC39" s="501"/>
      <c r="AD39" s="501"/>
      <c r="AE39" s="501"/>
      <c r="AF39" s="501"/>
      <c r="AG39" s="501"/>
      <c r="AH39" s="501"/>
      <c r="AI39" s="501"/>
      <c r="AJ39" s="501"/>
      <c r="AK39" s="501"/>
      <c r="AL39" s="501"/>
      <c r="AM39" s="501"/>
      <c r="AN39" s="501"/>
      <c r="AO39" s="501"/>
      <c r="AP39" s="501"/>
      <c r="AQ39" s="501"/>
      <c r="AR39" s="501"/>
      <c r="AS39" s="501"/>
      <c r="AT39" s="501"/>
      <c r="AU39" s="501"/>
      <c r="AV39" s="501"/>
      <c r="AW39" s="501"/>
      <c r="AX39" s="501"/>
      <c r="AY39" s="501"/>
      <c r="AZ39" s="501"/>
      <c r="BA39" s="501"/>
      <c r="BB39" s="501"/>
      <c r="BC39" s="501"/>
      <c r="BD39" s="501"/>
    </row>
    <row r="40" spans="1:56" ht="15" customHeight="1" x14ac:dyDescent="0.2">
      <c r="L40" s="8"/>
      <c r="AF40" s="1"/>
    </row>
    <row r="41" spans="1:56" ht="15" customHeight="1" x14ac:dyDescent="0.2">
      <c r="B41" s="717"/>
      <c r="C41" s="717"/>
      <c r="D41" s="717"/>
      <c r="E41" s="717"/>
      <c r="F41" s="717"/>
      <c r="G41" s="717"/>
      <c r="H41" s="717"/>
      <c r="I41" s="717"/>
      <c r="J41" s="717"/>
      <c r="K41" s="717"/>
      <c r="L41" s="681"/>
      <c r="M41" s="717"/>
      <c r="N41" s="717"/>
      <c r="O41" s="717"/>
      <c r="P41" s="717"/>
      <c r="Q41" s="717"/>
      <c r="R41" s="717"/>
      <c r="S41" s="717"/>
      <c r="T41" s="717"/>
      <c r="U41" s="717"/>
      <c r="V41" s="717"/>
      <c r="W41" s="717"/>
      <c r="X41" s="717"/>
      <c r="Y41" s="717"/>
      <c r="Z41" s="717"/>
      <c r="AA41" s="717"/>
      <c r="AB41" s="717"/>
      <c r="AC41" s="717"/>
      <c r="AD41" s="717"/>
      <c r="AE41" s="717"/>
      <c r="AF41" s="717"/>
      <c r="AG41" s="717"/>
      <c r="AH41" s="717"/>
      <c r="AI41" s="717"/>
      <c r="AJ41" s="717"/>
      <c r="AK41" s="717"/>
      <c r="AL41" s="717"/>
      <c r="AM41" s="717"/>
      <c r="AN41" s="717"/>
      <c r="AO41" s="717"/>
      <c r="AP41" s="717"/>
      <c r="AQ41" s="717"/>
      <c r="AR41" s="717"/>
      <c r="AS41" s="717"/>
      <c r="AT41" s="717"/>
      <c r="AU41" s="717"/>
      <c r="AV41" s="717"/>
      <c r="AW41" s="717"/>
      <c r="AX41" s="717"/>
      <c r="AY41" s="717"/>
      <c r="AZ41" s="717"/>
      <c r="BA41" s="717"/>
      <c r="BB41" s="717"/>
      <c r="BC41" s="717"/>
      <c r="BD41" s="717"/>
    </row>
    <row r="42" spans="1:56" ht="15" customHeight="1" x14ac:dyDescent="0.2">
      <c r="B42" s="501"/>
      <c r="C42" s="501"/>
      <c r="D42" s="501"/>
      <c r="E42" s="501"/>
      <c r="F42" s="501"/>
      <c r="G42" s="501"/>
      <c r="H42" s="501"/>
      <c r="I42" s="501"/>
      <c r="J42" s="501"/>
      <c r="K42" s="501"/>
      <c r="L42" s="501"/>
      <c r="M42" s="501"/>
      <c r="N42" s="501"/>
      <c r="O42" s="501"/>
      <c r="P42" s="501"/>
      <c r="Q42" s="501"/>
      <c r="R42" s="501"/>
      <c r="S42" s="501"/>
      <c r="T42" s="501"/>
      <c r="U42" s="501"/>
      <c r="V42" s="501"/>
      <c r="W42" s="501"/>
      <c r="X42" s="501"/>
      <c r="Y42" s="501"/>
      <c r="Z42" s="501"/>
      <c r="AA42" s="501"/>
      <c r="AB42" s="501"/>
      <c r="AC42" s="501"/>
      <c r="AD42" s="501"/>
      <c r="AE42" s="501"/>
      <c r="AF42" s="501"/>
      <c r="AG42" s="501"/>
      <c r="AH42" s="501"/>
      <c r="AI42" s="501"/>
      <c r="AJ42" s="501"/>
      <c r="AK42" s="501"/>
      <c r="AL42" s="501"/>
      <c r="AM42" s="501"/>
      <c r="AN42" s="501"/>
      <c r="AO42" s="501"/>
      <c r="AP42" s="501"/>
      <c r="AQ42" s="501"/>
      <c r="AR42" s="501"/>
      <c r="AS42" s="501"/>
      <c r="AT42" s="501"/>
      <c r="AU42" s="501"/>
      <c r="AV42" s="501"/>
      <c r="AW42" s="501"/>
      <c r="AX42" s="501"/>
      <c r="AY42" s="501"/>
      <c r="AZ42" s="501"/>
      <c r="BA42" s="501"/>
      <c r="BB42" s="501"/>
      <c r="BC42" s="501"/>
      <c r="BD42" s="501"/>
    </row>
    <row r="43" spans="1:56" ht="15" customHeight="1" x14ac:dyDescent="0.2">
      <c r="B43" s="501"/>
      <c r="C43" s="501"/>
      <c r="D43" s="501"/>
      <c r="E43" s="501"/>
      <c r="F43" s="501"/>
      <c r="G43" s="501"/>
      <c r="H43" s="501"/>
      <c r="I43" s="501"/>
      <c r="J43" s="501"/>
      <c r="K43" s="501"/>
      <c r="L43" s="501"/>
      <c r="M43" s="501"/>
      <c r="N43" s="501"/>
      <c r="O43" s="501"/>
      <c r="P43" s="501"/>
      <c r="Q43" s="501"/>
      <c r="R43" s="501"/>
      <c r="S43" s="501"/>
      <c r="T43" s="501"/>
      <c r="U43" s="501"/>
      <c r="V43" s="501"/>
      <c r="W43" s="501"/>
      <c r="X43" s="501"/>
      <c r="Y43" s="501"/>
      <c r="Z43" s="501"/>
      <c r="AA43" s="501"/>
      <c r="AB43" s="501"/>
      <c r="AC43" s="501"/>
      <c r="AD43" s="501"/>
      <c r="AE43" s="501"/>
      <c r="AF43" s="501"/>
      <c r="AG43" s="501"/>
      <c r="AH43" s="501"/>
      <c r="AI43" s="501"/>
      <c r="AJ43" s="501"/>
      <c r="AK43" s="501"/>
      <c r="AL43" s="501"/>
      <c r="AM43" s="501"/>
      <c r="AN43" s="501"/>
      <c r="AO43" s="501"/>
      <c r="AP43" s="501"/>
      <c r="AQ43" s="501"/>
      <c r="AR43" s="501"/>
      <c r="AS43" s="501"/>
      <c r="AT43" s="501"/>
      <c r="AU43" s="501"/>
      <c r="AV43" s="501"/>
      <c r="AW43" s="501"/>
      <c r="AX43" s="501"/>
      <c r="AY43" s="501"/>
      <c r="AZ43" s="501"/>
      <c r="BA43" s="501"/>
      <c r="BB43" s="501"/>
      <c r="BC43" s="501"/>
      <c r="BD43" s="501"/>
    </row>
    <row r="44" spans="1:56" ht="15" customHeight="1" x14ac:dyDescent="0.2">
      <c r="L44" s="8"/>
      <c r="AF44" s="1"/>
    </row>
    <row r="45" spans="1:56" ht="15" customHeight="1" x14ac:dyDescent="0.2">
      <c r="L45" s="8"/>
      <c r="AF45" s="1"/>
    </row>
    <row r="46" spans="1:56" ht="15" customHeight="1" x14ac:dyDescent="0.2">
      <c r="L46" s="8"/>
      <c r="AF46" s="1"/>
    </row>
    <row r="47" spans="1:56" ht="15" customHeight="1" x14ac:dyDescent="0.2">
      <c r="L47" s="8"/>
      <c r="AF47" s="1"/>
    </row>
    <row r="48" spans="1:56" ht="15" customHeight="1" x14ac:dyDescent="0.2">
      <c r="L48" s="8"/>
      <c r="AF48" s="1"/>
    </row>
    <row r="49" spans="12:32" ht="15" customHeight="1" x14ac:dyDescent="0.2">
      <c r="L49" s="8"/>
      <c r="AF49" s="1"/>
    </row>
    <row r="50" spans="12:32" ht="15" customHeight="1" x14ac:dyDescent="0.2">
      <c r="L50" s="8"/>
      <c r="AF50" s="1"/>
    </row>
    <row r="51" spans="12:32" ht="15" customHeight="1" x14ac:dyDescent="0.2">
      <c r="L51" s="8"/>
      <c r="AF51" s="1"/>
    </row>
  </sheetData>
  <customSheetViews>
    <customSheetView guid="{B7440494-8EA9-4463-9947-E5D20E74049D}" showGridLines="0">
      <pane xSplit="1" ySplit="10" topLeftCell="AH11" activePane="bottomRight" state="frozen"/>
      <selection pane="bottomRight" activeCell="AO30" sqref="AO30"/>
      <colBreaks count="9" manualBreakCount="9">
        <brk id="5" min="1" max="64" man="1"/>
        <brk id="9" max="1048575" man="1"/>
        <brk id="13" min="1" max="64" man="1"/>
        <brk id="17" min="1" max="64" man="1"/>
        <brk id="21" min="1" max="64" man="1"/>
        <brk id="25" min="1" max="64" man="1"/>
        <brk id="29" min="1" max="64" man="1"/>
        <brk id="33" min="1" max="64" man="1"/>
        <brk id="37" min="1" max="64" man="1"/>
      </colBreaks>
      <pageMargins left="0" right="0" top="0.15748031496062992" bottom="0" header="0" footer="0"/>
      <printOptions horizontalCentered="1"/>
      <pageSetup paperSize="9" scale="77" fitToHeight="0" orientation="portrait" horizontalDpi="1200" verticalDpi="1200" r:id="rId1"/>
      <headerFooter alignWithMargins="0">
        <oddHeader>&amp;R&amp;P/&amp;N</oddHeader>
      </headerFooter>
    </customSheetView>
    <customSheetView guid="{6D89F6EF-F5AD-478F-979A-5AF1BC78EF91}" showGridLines="0">
      <pane xSplit="2" ySplit="11" topLeftCell="C12" activePane="bottomRight" state="frozen"/>
      <selection pane="bottomRight" activeCell="C12" sqref="C12"/>
      <colBreaks count="6" manualBreakCount="6">
        <brk id="9" max="61" man="1"/>
        <brk id="18" max="61" man="1"/>
        <brk id="25" max="61" man="1"/>
        <brk id="33" max="61" man="1"/>
        <brk id="41" max="61" man="1"/>
        <brk id="49" max="61" man="1"/>
      </colBreaks>
      <pageMargins left="0" right="0" top="0.15748031496062992" bottom="0" header="0" footer="0"/>
      <printOptions horizontalCentered="1"/>
      <pageSetup paperSize="9" scale="90" fitToHeight="0" orientation="portrait" horizontalDpi="1200" verticalDpi="1200" r:id="rId2"/>
      <headerFooter alignWithMargins="0"/>
    </customSheetView>
    <customSheetView guid="{A9134056-6B1C-4A42-AFE9-9712EF3EF3D4}" showPageBreaks="1" showGridLines="0" printArea="1">
      <pane xSplit="2" ySplit="11" topLeftCell="C12" activePane="bottomRight" state="frozen"/>
      <selection pane="bottomRight" activeCell="C12" sqref="C12"/>
      <colBreaks count="10" manualBreakCount="10">
        <brk id="5" min="1" max="63" man="1"/>
        <brk id="9" max="61" man="1"/>
        <brk id="13" min="1" max="63" man="1"/>
        <brk id="17" min="1" max="63" man="1"/>
        <brk id="18" max="61" man="1"/>
        <brk id="22" min="1" max="63" man="1"/>
        <brk id="25" max="61" man="1"/>
        <brk id="33" max="61" man="1"/>
        <brk id="41" max="61" man="1"/>
        <brk id="49" max="61" man="1"/>
      </colBreaks>
      <pageMargins left="0" right="0" top="0.15748031496062992" bottom="0" header="0" footer="0"/>
      <printOptions horizontalCentered="1"/>
      <pageSetup paperSize="9" scale="90" fitToHeight="0" orientation="portrait" horizontalDpi="1200" verticalDpi="1200" r:id="rId3"/>
      <headerFooter alignWithMargins="0"/>
    </customSheetView>
  </customSheetViews>
  <hyperlinks>
    <hyperlink ref="BD6" location="Índex!E9" display="Índex"/>
  </hyperlinks>
  <printOptions horizontalCentered="1"/>
  <pageMargins left="0" right="0" top="0.39370078740157483" bottom="0" header="0" footer="0"/>
  <pageSetup paperSize="9" scale="72" fitToWidth="6" orientation="landscape" horizontalDpi="1200" verticalDpi="1200" r:id="rId4"/>
  <headerFooter alignWithMargins="0">
    <oddHeader>&amp;R&amp;P/&amp;N</oddHeader>
  </headerFooter>
  <colBreaks count="5" manualBreakCount="5">
    <brk id="11" max="36" man="1"/>
    <brk id="21" max="36" man="1"/>
    <brk id="31" max="36" man="1"/>
    <brk id="41" max="36" man="1"/>
    <brk id="51" max="36" man="1"/>
  </colBreaks>
  <drawing r:id="rId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J73"/>
  <sheetViews>
    <sheetView showGridLines="0" zoomScaleNormal="100" workbookViewId="0">
      <pane xSplit="1" ySplit="8" topLeftCell="B43" activePane="bottomRight" state="frozen"/>
      <selection activeCell="E9" sqref="E9"/>
      <selection pane="topRight" activeCell="E9" sqref="E9"/>
      <selection pane="bottomLeft" activeCell="E9" sqref="E9"/>
      <selection pane="bottomRight" activeCell="J10" sqref="J10"/>
    </sheetView>
  </sheetViews>
  <sheetFormatPr defaultColWidth="12.5703125" defaultRowHeight="12" x14ac:dyDescent="0.2"/>
  <cols>
    <col min="1" max="1" width="77.140625" style="623" customWidth="1"/>
    <col min="2" max="4" width="10.7109375" style="623" customWidth="1"/>
    <col min="5" max="7" width="10" style="623" customWidth="1"/>
    <col min="8" max="10" width="10.7109375" style="623" customWidth="1"/>
    <col min="11" max="16384" width="12.5703125" style="600"/>
  </cols>
  <sheetData>
    <row r="1" spans="1:218" ht="15" customHeight="1" x14ac:dyDescent="0.2">
      <c r="A1" s="595"/>
      <c r="B1" s="596"/>
      <c r="C1" s="596"/>
      <c r="D1" s="596"/>
      <c r="E1" s="596"/>
      <c r="F1" s="597"/>
      <c r="G1" s="598"/>
      <c r="H1" s="596"/>
      <c r="I1" s="596"/>
      <c r="J1" s="596"/>
      <c r="K1" s="598"/>
      <c r="L1" s="598"/>
      <c r="M1" s="598"/>
      <c r="N1" s="598"/>
      <c r="O1" s="598"/>
      <c r="P1" s="598"/>
      <c r="Q1" s="598"/>
      <c r="R1" s="598"/>
      <c r="S1" s="598"/>
      <c r="T1" s="598"/>
      <c r="U1" s="598"/>
      <c r="V1" s="598"/>
      <c r="W1" s="598"/>
      <c r="X1" s="598"/>
      <c r="Y1" s="598"/>
      <c r="Z1" s="598"/>
      <c r="AA1" s="598"/>
      <c r="AB1" s="598"/>
      <c r="AC1" s="598"/>
      <c r="AD1" s="598"/>
      <c r="AE1" s="598"/>
      <c r="AF1" s="598"/>
      <c r="AG1" s="598"/>
      <c r="AH1" s="598"/>
      <c r="AI1" s="598"/>
      <c r="AJ1" s="598"/>
      <c r="AK1" s="598"/>
      <c r="AL1" s="598"/>
      <c r="AM1" s="598"/>
      <c r="AN1" s="598"/>
      <c r="AO1" s="598"/>
      <c r="AP1" s="598"/>
      <c r="AQ1" s="598"/>
      <c r="AR1" s="598"/>
      <c r="AS1" s="599"/>
      <c r="AT1" s="598"/>
      <c r="AU1" s="599"/>
      <c r="AV1" s="598"/>
      <c r="AW1" s="599"/>
      <c r="AX1" s="598"/>
      <c r="AY1" s="599"/>
      <c r="AZ1" s="598"/>
      <c r="BA1" s="599"/>
      <c r="BB1" s="598"/>
      <c r="BC1" s="599"/>
      <c r="BD1" s="598"/>
      <c r="BE1" s="599"/>
      <c r="BF1" s="598"/>
      <c r="BG1" s="599"/>
      <c r="BH1" s="598"/>
      <c r="BI1" s="599"/>
      <c r="BJ1" s="598"/>
      <c r="BK1" s="599"/>
      <c r="BL1" s="598"/>
      <c r="BM1" s="599"/>
      <c r="BN1" s="598"/>
      <c r="BO1" s="599"/>
      <c r="BP1" s="598"/>
      <c r="BQ1" s="599"/>
      <c r="BR1" s="598"/>
      <c r="BS1" s="599"/>
      <c r="BT1" s="598"/>
      <c r="BU1" s="599"/>
      <c r="BV1" s="598"/>
      <c r="BW1" s="599"/>
      <c r="BX1" s="598"/>
      <c r="BY1" s="599"/>
      <c r="BZ1" s="597"/>
      <c r="CA1" s="597"/>
      <c r="CB1" s="598"/>
      <c r="CC1" s="599"/>
      <c r="CD1" s="596"/>
      <c r="CE1" s="596"/>
      <c r="CF1" s="596"/>
      <c r="CG1" s="596"/>
      <c r="CH1" s="596"/>
      <c r="CI1" s="599"/>
      <c r="CJ1" s="596"/>
      <c r="CK1" s="599"/>
      <c r="CL1" s="596"/>
      <c r="CM1" s="596"/>
      <c r="CN1" s="596"/>
      <c r="CO1" s="595"/>
      <c r="CP1" s="595"/>
      <c r="CQ1" s="598"/>
      <c r="CR1" s="599"/>
      <c r="CS1" s="598"/>
      <c r="CT1" s="599"/>
      <c r="CU1" s="598"/>
      <c r="CV1" s="599"/>
      <c r="CW1" s="598"/>
      <c r="CX1" s="599"/>
      <c r="CY1" s="598"/>
      <c r="CZ1" s="599"/>
      <c r="DA1" s="598"/>
      <c r="DB1" s="599"/>
      <c r="DC1" s="598"/>
      <c r="DD1" s="599"/>
      <c r="DE1" s="598"/>
      <c r="DF1" s="599"/>
      <c r="DG1" s="598"/>
      <c r="DH1" s="599"/>
      <c r="DI1" s="598"/>
      <c r="DJ1" s="599"/>
      <c r="DK1" s="598"/>
      <c r="DL1" s="599"/>
      <c r="DM1" s="598"/>
      <c r="DN1" s="599"/>
      <c r="DO1" s="598"/>
      <c r="DP1" s="599"/>
      <c r="DQ1" s="598"/>
      <c r="DR1" s="599"/>
      <c r="DS1" s="598"/>
      <c r="DT1" s="599"/>
      <c r="DU1" s="598"/>
      <c r="DV1" s="599"/>
      <c r="DW1" s="598"/>
      <c r="DX1" s="599"/>
      <c r="DY1" s="598"/>
      <c r="DZ1" s="599"/>
      <c r="EA1" s="598"/>
      <c r="EB1" s="599"/>
      <c r="EC1" s="598"/>
      <c r="ED1" s="599"/>
      <c r="EE1" s="597"/>
      <c r="EF1" s="597"/>
      <c r="EG1" s="598"/>
      <c r="EH1" s="599"/>
      <c r="EI1" s="596"/>
      <c r="EJ1" s="596"/>
      <c r="EK1" s="596"/>
      <c r="EL1" s="596"/>
      <c r="EM1" s="596"/>
      <c r="EN1" s="599"/>
      <c r="EO1" s="596"/>
      <c r="EP1" s="599"/>
      <c r="EQ1" s="596"/>
      <c r="ER1" s="596"/>
      <c r="ES1" s="596"/>
      <c r="ET1" s="595"/>
      <c r="EU1" s="595"/>
      <c r="EV1" s="598"/>
      <c r="EW1" s="599"/>
      <c r="EX1" s="598"/>
      <c r="EY1" s="599"/>
      <c r="EZ1" s="598"/>
      <c r="FA1" s="599"/>
      <c r="FB1" s="598"/>
      <c r="FC1" s="599"/>
      <c r="FD1" s="598"/>
      <c r="FE1" s="599"/>
      <c r="FF1" s="598"/>
      <c r="FG1" s="599"/>
      <c r="FH1" s="598"/>
      <c r="FI1" s="599"/>
      <c r="FJ1" s="598"/>
      <c r="FK1" s="599"/>
      <c r="FL1" s="598"/>
      <c r="FM1" s="599"/>
      <c r="FN1" s="598"/>
      <c r="FO1" s="599"/>
      <c r="FP1" s="598"/>
      <c r="FQ1" s="599"/>
      <c r="FR1" s="598"/>
      <c r="FS1" s="599"/>
      <c r="FT1" s="598"/>
      <c r="FU1" s="599"/>
      <c r="FV1" s="598"/>
      <c r="FW1" s="599"/>
      <c r="FX1" s="598"/>
      <c r="FY1" s="599"/>
      <c r="FZ1" s="598"/>
      <c r="GA1" s="599"/>
      <c r="GB1" s="598"/>
      <c r="GC1" s="599"/>
      <c r="GD1" s="598"/>
      <c r="GE1" s="599"/>
      <c r="GF1" s="598"/>
      <c r="GG1" s="599"/>
      <c r="GH1" s="598"/>
      <c r="GI1" s="599"/>
      <c r="GJ1" s="597"/>
      <c r="GK1" s="597"/>
      <c r="GL1" s="598"/>
      <c r="GM1" s="599"/>
      <c r="GN1" s="596"/>
      <c r="GO1" s="596"/>
      <c r="GP1" s="596"/>
      <c r="GQ1" s="596"/>
      <c r="GR1" s="596"/>
      <c r="GS1" s="599"/>
      <c r="GT1" s="596"/>
      <c r="GU1" s="599"/>
      <c r="GV1" s="596"/>
      <c r="GW1" s="596"/>
      <c r="GX1" s="596"/>
      <c r="GY1" s="595"/>
      <c r="GZ1" s="595"/>
      <c r="HA1" s="598"/>
      <c r="HB1" s="599"/>
      <c r="HC1" s="598"/>
      <c r="HD1" s="599"/>
      <c r="HE1" s="598"/>
      <c r="HF1" s="599"/>
      <c r="HG1" s="598"/>
      <c r="HH1" s="599"/>
      <c r="HI1" s="598"/>
      <c r="HJ1" s="599"/>
    </row>
    <row r="2" spans="1:218" ht="15" customHeight="1" x14ac:dyDescent="0.2">
      <c r="A2" s="595"/>
      <c r="B2" s="596"/>
      <c r="C2" s="596"/>
      <c r="D2" s="596"/>
      <c r="E2" s="596"/>
      <c r="F2" s="597"/>
      <c r="G2" s="598"/>
      <c r="H2" s="596"/>
      <c r="I2" s="596"/>
      <c r="J2" s="596"/>
      <c r="K2" s="598"/>
      <c r="L2" s="598"/>
      <c r="M2" s="598"/>
      <c r="N2" s="598"/>
      <c r="O2" s="598"/>
      <c r="P2" s="598"/>
      <c r="Q2" s="598"/>
      <c r="R2" s="598"/>
      <c r="S2" s="598"/>
      <c r="T2" s="598"/>
      <c r="U2" s="598"/>
      <c r="V2" s="598"/>
      <c r="W2" s="598"/>
      <c r="X2" s="598"/>
      <c r="Y2" s="598"/>
      <c r="Z2" s="598"/>
      <c r="AA2" s="598"/>
      <c r="AB2" s="598"/>
      <c r="AC2" s="598"/>
      <c r="AD2" s="598"/>
      <c r="AE2" s="598"/>
      <c r="AF2" s="598"/>
      <c r="AG2" s="598"/>
      <c r="AH2" s="598"/>
      <c r="AI2" s="598"/>
      <c r="AJ2" s="598"/>
      <c r="AK2" s="598"/>
      <c r="AL2" s="598"/>
      <c r="AM2" s="598"/>
      <c r="AN2" s="598"/>
      <c r="AO2" s="598"/>
      <c r="AP2" s="598"/>
      <c r="AQ2" s="598"/>
      <c r="AR2" s="598"/>
      <c r="AS2" s="599"/>
      <c r="AT2" s="598"/>
      <c r="AU2" s="599"/>
      <c r="AV2" s="598"/>
      <c r="AW2" s="599"/>
      <c r="AX2" s="598"/>
      <c r="AY2" s="599"/>
      <c r="AZ2" s="598"/>
      <c r="BA2" s="599"/>
      <c r="BB2" s="598"/>
      <c r="BC2" s="599"/>
      <c r="BD2" s="598"/>
      <c r="BE2" s="599"/>
      <c r="BF2" s="598"/>
      <c r="BG2" s="599"/>
      <c r="BH2" s="598"/>
      <c r="BI2" s="599"/>
      <c r="BJ2" s="598"/>
      <c r="BK2" s="599"/>
      <c r="BL2" s="598"/>
      <c r="BM2" s="599"/>
      <c r="BN2" s="598"/>
      <c r="BO2" s="599"/>
      <c r="BP2" s="598"/>
      <c r="BQ2" s="599"/>
      <c r="BR2" s="598"/>
      <c r="BS2" s="599"/>
      <c r="BT2" s="598"/>
      <c r="BU2" s="599"/>
      <c r="BV2" s="598"/>
      <c r="BW2" s="599"/>
      <c r="BX2" s="598"/>
      <c r="BY2" s="599"/>
      <c r="BZ2" s="597"/>
      <c r="CA2" s="597"/>
      <c r="CB2" s="598"/>
      <c r="CC2" s="599"/>
      <c r="CD2" s="596"/>
      <c r="CE2" s="596"/>
      <c r="CF2" s="596"/>
      <c r="CG2" s="596"/>
      <c r="CH2" s="596"/>
      <c r="CI2" s="599"/>
      <c r="CJ2" s="596"/>
      <c r="CK2" s="599"/>
      <c r="CL2" s="596"/>
      <c r="CM2" s="596"/>
      <c r="CN2" s="596"/>
      <c r="CO2" s="595"/>
      <c r="CP2" s="595"/>
      <c r="CQ2" s="598"/>
      <c r="CR2" s="599"/>
      <c r="CS2" s="598"/>
      <c r="CT2" s="599"/>
      <c r="CU2" s="598"/>
      <c r="CV2" s="599"/>
      <c r="CW2" s="598"/>
      <c r="CX2" s="599"/>
      <c r="CY2" s="598"/>
      <c r="CZ2" s="599"/>
      <c r="DA2" s="598"/>
      <c r="DB2" s="599"/>
      <c r="DC2" s="598"/>
      <c r="DD2" s="599"/>
      <c r="DE2" s="598"/>
      <c r="DF2" s="599"/>
      <c r="DG2" s="598"/>
      <c r="DH2" s="599"/>
      <c r="DI2" s="598"/>
      <c r="DJ2" s="599"/>
      <c r="DK2" s="598"/>
      <c r="DL2" s="599"/>
      <c r="DM2" s="598"/>
      <c r="DN2" s="599"/>
      <c r="DO2" s="598"/>
      <c r="DP2" s="599"/>
      <c r="DQ2" s="598"/>
      <c r="DR2" s="599"/>
      <c r="DS2" s="598"/>
      <c r="DT2" s="599"/>
      <c r="DU2" s="598"/>
      <c r="DV2" s="599"/>
      <c r="DW2" s="598"/>
      <c r="DX2" s="599"/>
      <c r="DY2" s="598"/>
      <c r="DZ2" s="599"/>
      <c r="EA2" s="598"/>
      <c r="EB2" s="599"/>
      <c r="EC2" s="598"/>
      <c r="ED2" s="599"/>
      <c r="EE2" s="597"/>
      <c r="EF2" s="597"/>
      <c r="EG2" s="598"/>
      <c r="EH2" s="599"/>
      <c r="EI2" s="596"/>
      <c r="EJ2" s="596"/>
      <c r="EK2" s="596"/>
      <c r="EL2" s="596"/>
      <c r="EM2" s="596"/>
      <c r="EN2" s="599"/>
      <c r="EO2" s="596"/>
      <c r="EP2" s="599"/>
      <c r="EQ2" s="596"/>
      <c r="ER2" s="596"/>
      <c r="ES2" s="596"/>
      <c r="ET2" s="595"/>
      <c r="EU2" s="595"/>
      <c r="EV2" s="598"/>
      <c r="EW2" s="599"/>
      <c r="EX2" s="598"/>
      <c r="EY2" s="599"/>
      <c r="EZ2" s="598"/>
      <c r="FA2" s="599"/>
      <c r="FB2" s="598"/>
      <c r="FC2" s="599"/>
      <c r="FD2" s="598"/>
      <c r="FE2" s="599"/>
      <c r="FF2" s="598"/>
      <c r="FG2" s="599"/>
      <c r="FH2" s="598"/>
      <c r="FI2" s="599"/>
      <c r="FJ2" s="598"/>
      <c r="FK2" s="599"/>
      <c r="FL2" s="598"/>
      <c r="FM2" s="599"/>
      <c r="FN2" s="598"/>
      <c r="FO2" s="599"/>
      <c r="FP2" s="598"/>
      <c r="FQ2" s="599"/>
      <c r="FR2" s="598"/>
      <c r="FS2" s="599"/>
      <c r="FT2" s="598"/>
      <c r="FU2" s="599"/>
      <c r="FV2" s="598"/>
      <c r="FW2" s="599"/>
      <c r="FX2" s="598"/>
      <c r="FY2" s="599"/>
      <c r="FZ2" s="598"/>
      <c r="GA2" s="599"/>
      <c r="GB2" s="598"/>
      <c r="GC2" s="599"/>
      <c r="GD2" s="598"/>
      <c r="GE2" s="599"/>
      <c r="GF2" s="598"/>
      <c r="GG2" s="599"/>
      <c r="GH2" s="598"/>
      <c r="GI2" s="599"/>
      <c r="GJ2" s="597"/>
      <c r="GK2" s="597"/>
      <c r="GL2" s="598"/>
      <c r="GM2" s="599"/>
      <c r="GN2" s="596"/>
      <c r="GO2" s="596"/>
      <c r="GP2" s="596"/>
      <c r="GQ2" s="596"/>
      <c r="GR2" s="596"/>
      <c r="GS2" s="599"/>
      <c r="GT2" s="596"/>
      <c r="GU2" s="599"/>
      <c r="GV2" s="596"/>
      <c r="GW2" s="596"/>
      <c r="GX2" s="596"/>
      <c r="GY2" s="595"/>
      <c r="GZ2" s="595"/>
      <c r="HA2" s="598"/>
      <c r="HB2" s="599"/>
      <c r="HC2" s="598"/>
      <c r="HD2" s="599"/>
      <c r="HE2" s="598"/>
      <c r="HF2" s="599"/>
      <c r="HG2" s="598"/>
      <c r="HH2" s="599"/>
      <c r="HI2" s="598"/>
      <c r="HJ2" s="599"/>
    </row>
    <row r="3" spans="1:218" ht="15" customHeight="1" x14ac:dyDescent="0.2">
      <c r="A3" s="595"/>
      <c r="B3" s="596"/>
      <c r="C3" s="596"/>
      <c r="D3" s="596"/>
      <c r="E3" s="596"/>
      <c r="F3" s="597"/>
      <c r="G3" s="598"/>
      <c r="H3" s="596"/>
      <c r="I3" s="596"/>
      <c r="J3" s="596"/>
      <c r="K3" s="598"/>
      <c r="L3" s="598"/>
      <c r="M3" s="598"/>
      <c r="N3" s="598"/>
      <c r="O3" s="598"/>
      <c r="P3" s="598"/>
      <c r="Q3" s="598"/>
      <c r="R3" s="598"/>
      <c r="S3" s="598"/>
      <c r="T3" s="598"/>
      <c r="U3" s="598"/>
      <c r="V3" s="598"/>
      <c r="W3" s="598"/>
      <c r="X3" s="598"/>
      <c r="Y3" s="598"/>
      <c r="Z3" s="598"/>
      <c r="AA3" s="598"/>
      <c r="AB3" s="598"/>
      <c r="AC3" s="598"/>
      <c r="AD3" s="598"/>
      <c r="AE3" s="598"/>
      <c r="AF3" s="598"/>
      <c r="AG3" s="598"/>
      <c r="AH3" s="598"/>
      <c r="AI3" s="598"/>
      <c r="AJ3" s="598"/>
      <c r="AK3" s="598"/>
      <c r="AL3" s="598"/>
      <c r="AM3" s="598"/>
      <c r="AN3" s="598"/>
      <c r="AO3" s="598"/>
      <c r="AP3" s="598"/>
      <c r="AQ3" s="598"/>
      <c r="AR3" s="598"/>
      <c r="AS3" s="599"/>
      <c r="AT3" s="598"/>
      <c r="AU3" s="599"/>
      <c r="AV3" s="598"/>
      <c r="AW3" s="599"/>
      <c r="AX3" s="598"/>
      <c r="AY3" s="599"/>
      <c r="AZ3" s="598"/>
      <c r="BA3" s="599"/>
      <c r="BB3" s="598"/>
      <c r="BC3" s="599"/>
      <c r="BD3" s="598"/>
      <c r="BE3" s="599"/>
      <c r="BF3" s="598"/>
      <c r="BG3" s="599"/>
      <c r="BH3" s="598"/>
      <c r="BI3" s="599"/>
      <c r="BJ3" s="598"/>
      <c r="BK3" s="599"/>
      <c r="BL3" s="598"/>
      <c r="BM3" s="599"/>
      <c r="BN3" s="598"/>
      <c r="BO3" s="599"/>
      <c r="BP3" s="598"/>
      <c r="BQ3" s="599"/>
      <c r="BR3" s="598"/>
      <c r="BS3" s="599"/>
      <c r="BT3" s="598"/>
      <c r="BU3" s="599"/>
      <c r="BV3" s="598"/>
      <c r="BW3" s="599"/>
      <c r="BX3" s="598"/>
      <c r="BY3" s="599"/>
      <c r="BZ3" s="597"/>
      <c r="CA3" s="597"/>
      <c r="CB3" s="598"/>
      <c r="CC3" s="599"/>
      <c r="CD3" s="596"/>
      <c r="CE3" s="596"/>
      <c r="CF3" s="596"/>
      <c r="CG3" s="596"/>
      <c r="CH3" s="596"/>
      <c r="CI3" s="599"/>
      <c r="CJ3" s="596"/>
      <c r="CK3" s="599"/>
      <c r="CL3" s="596"/>
      <c r="CM3" s="596"/>
      <c r="CN3" s="596"/>
      <c r="CO3" s="595"/>
      <c r="CP3" s="595"/>
      <c r="CQ3" s="598"/>
      <c r="CR3" s="599"/>
      <c r="CS3" s="598"/>
      <c r="CT3" s="599"/>
      <c r="CU3" s="598"/>
      <c r="CV3" s="599"/>
      <c r="CW3" s="598"/>
      <c r="CX3" s="599"/>
      <c r="CY3" s="598"/>
      <c r="CZ3" s="599"/>
      <c r="DA3" s="598"/>
      <c r="DB3" s="599"/>
      <c r="DC3" s="598"/>
      <c r="DD3" s="599"/>
      <c r="DE3" s="598"/>
      <c r="DF3" s="599"/>
      <c r="DG3" s="598"/>
      <c r="DH3" s="599"/>
      <c r="DI3" s="598"/>
      <c r="DJ3" s="599"/>
      <c r="DK3" s="598"/>
      <c r="DL3" s="599"/>
      <c r="DM3" s="598"/>
      <c r="DN3" s="599"/>
      <c r="DO3" s="598"/>
      <c r="DP3" s="599"/>
      <c r="DQ3" s="598"/>
      <c r="DR3" s="599"/>
      <c r="DS3" s="598"/>
      <c r="DT3" s="599"/>
      <c r="DU3" s="598"/>
      <c r="DV3" s="599"/>
      <c r="DW3" s="598"/>
      <c r="DX3" s="599"/>
      <c r="DY3" s="598"/>
      <c r="DZ3" s="599"/>
      <c r="EA3" s="598"/>
      <c r="EB3" s="599"/>
      <c r="EC3" s="598"/>
      <c r="ED3" s="599"/>
      <c r="EE3" s="597"/>
      <c r="EF3" s="597"/>
      <c r="EG3" s="598"/>
      <c r="EH3" s="599"/>
      <c r="EI3" s="596"/>
      <c r="EJ3" s="596"/>
      <c r="EK3" s="596"/>
      <c r="EL3" s="596"/>
      <c r="EM3" s="596"/>
      <c r="EN3" s="599"/>
      <c r="EO3" s="596"/>
      <c r="EP3" s="599"/>
      <c r="EQ3" s="596"/>
      <c r="ER3" s="596"/>
      <c r="ES3" s="596"/>
      <c r="ET3" s="595"/>
      <c r="EU3" s="595"/>
      <c r="EV3" s="598"/>
      <c r="EW3" s="599"/>
      <c r="EX3" s="598"/>
      <c r="EY3" s="599"/>
      <c r="EZ3" s="598"/>
      <c r="FA3" s="599"/>
      <c r="FB3" s="598"/>
      <c r="FC3" s="599"/>
      <c r="FD3" s="598"/>
      <c r="FE3" s="599"/>
      <c r="FF3" s="598"/>
      <c r="FG3" s="599"/>
      <c r="FH3" s="598"/>
      <c r="FI3" s="599"/>
      <c r="FJ3" s="598"/>
      <c r="FK3" s="599"/>
      <c r="FL3" s="598"/>
      <c r="FM3" s="599"/>
      <c r="FN3" s="598"/>
      <c r="FO3" s="599"/>
      <c r="FP3" s="598"/>
      <c r="FQ3" s="599"/>
      <c r="FR3" s="598"/>
      <c r="FS3" s="599"/>
      <c r="FT3" s="598"/>
      <c r="FU3" s="599"/>
      <c r="FV3" s="598"/>
      <c r="FW3" s="599"/>
      <c r="FX3" s="598"/>
      <c r="FY3" s="599"/>
      <c r="FZ3" s="598"/>
      <c r="GA3" s="599"/>
      <c r="GB3" s="598"/>
      <c r="GC3" s="599"/>
      <c r="GD3" s="598"/>
      <c r="GE3" s="599"/>
      <c r="GF3" s="598"/>
      <c r="GG3" s="599"/>
      <c r="GH3" s="598"/>
      <c r="GI3" s="599"/>
      <c r="GJ3" s="597"/>
      <c r="GK3" s="597"/>
      <c r="GL3" s="598"/>
      <c r="GM3" s="599"/>
      <c r="GN3" s="596"/>
      <c r="GO3" s="596"/>
      <c r="GP3" s="596"/>
      <c r="GQ3" s="596"/>
      <c r="GR3" s="596"/>
      <c r="GS3" s="599"/>
      <c r="GT3" s="596"/>
      <c r="GU3" s="599"/>
      <c r="GV3" s="596"/>
      <c r="GW3" s="596"/>
      <c r="GX3" s="596"/>
      <c r="GY3" s="595"/>
      <c r="GZ3" s="595"/>
      <c r="HA3" s="598"/>
      <c r="HB3" s="599"/>
      <c r="HC3" s="598"/>
      <c r="HD3" s="599"/>
      <c r="HE3" s="598"/>
      <c r="HF3" s="599"/>
      <c r="HG3" s="598"/>
      <c r="HH3" s="599"/>
      <c r="HI3" s="598"/>
      <c r="HJ3" s="599"/>
    </row>
    <row r="4" spans="1:218" ht="15" customHeight="1" x14ac:dyDescent="0.2">
      <c r="A4" s="601"/>
      <c r="B4" s="602"/>
      <c r="C4" s="602"/>
      <c r="D4" s="602"/>
      <c r="E4" s="602"/>
      <c r="F4" s="603"/>
      <c r="G4" s="604"/>
      <c r="H4" s="602"/>
      <c r="I4" s="602"/>
      <c r="J4" s="602"/>
      <c r="K4" s="604"/>
      <c r="L4" s="604"/>
      <c r="M4" s="604"/>
      <c r="N4" s="604"/>
      <c r="O4" s="604"/>
      <c r="P4" s="604"/>
      <c r="Q4" s="604"/>
      <c r="R4" s="604"/>
      <c r="S4" s="604"/>
      <c r="T4" s="604"/>
      <c r="U4" s="604"/>
      <c r="V4" s="604"/>
      <c r="W4" s="604"/>
      <c r="X4" s="604"/>
      <c r="Y4" s="604"/>
      <c r="Z4" s="604"/>
      <c r="AA4" s="604"/>
      <c r="AB4" s="604"/>
      <c r="AC4" s="604"/>
      <c r="AD4" s="604"/>
      <c r="AE4" s="604"/>
      <c r="AF4" s="604"/>
      <c r="AG4" s="604"/>
      <c r="AH4" s="605"/>
      <c r="AI4" s="605"/>
      <c r="AJ4" s="605"/>
      <c r="AK4" s="150"/>
      <c r="AL4" s="150"/>
      <c r="AM4" s="150"/>
      <c r="AN4" s="150"/>
      <c r="AO4" s="150"/>
      <c r="AP4" s="150"/>
      <c r="AQ4" s="150"/>
      <c r="AR4" s="150"/>
    </row>
    <row r="5" spans="1:218" ht="15" customHeight="1" thickBot="1" x14ac:dyDescent="0.25">
      <c r="A5" s="708" t="s">
        <v>654</v>
      </c>
      <c r="B5" s="607"/>
      <c r="C5" s="607"/>
      <c r="D5" s="607"/>
      <c r="E5" s="607"/>
      <c r="F5" s="607"/>
      <c r="G5" s="607"/>
      <c r="H5" s="607"/>
      <c r="I5" s="607"/>
      <c r="J5" s="607"/>
    </row>
    <row r="6" spans="1:218" s="608" customFormat="1" ht="15" customHeight="1" thickTop="1" x14ac:dyDescent="0.2">
      <c r="B6" s="609"/>
      <c r="C6" s="610"/>
      <c r="D6" s="610"/>
      <c r="E6" s="610"/>
      <c r="F6" s="379"/>
      <c r="G6" s="379"/>
      <c r="H6" s="400"/>
      <c r="I6" s="400"/>
      <c r="J6" s="400" t="s">
        <v>662</v>
      </c>
    </row>
    <row r="7" spans="1:218" s="609" customFormat="1" ht="15" customHeight="1" x14ac:dyDescent="0.2">
      <c r="A7" s="611"/>
      <c r="B7" s="691" t="s">
        <v>339</v>
      </c>
      <c r="C7" s="691" t="s">
        <v>53</v>
      </c>
      <c r="D7" s="691" t="s">
        <v>54</v>
      </c>
      <c r="E7" s="691" t="s">
        <v>330</v>
      </c>
      <c r="F7" s="691" t="s">
        <v>340</v>
      </c>
      <c r="G7" s="691" t="s">
        <v>71</v>
      </c>
      <c r="H7" s="691" t="s">
        <v>374</v>
      </c>
      <c r="I7" s="691" t="s">
        <v>376</v>
      </c>
      <c r="J7" s="691" t="s">
        <v>399</v>
      </c>
    </row>
    <row r="8" spans="1:218" ht="15" customHeight="1" x14ac:dyDescent="0.2">
      <c r="A8" s="157" t="s">
        <v>207</v>
      </c>
      <c r="B8" s="613"/>
      <c r="C8" s="613"/>
      <c r="D8" s="613"/>
      <c r="E8" s="613"/>
      <c r="F8" s="613"/>
      <c r="G8" s="613"/>
      <c r="H8" s="613"/>
      <c r="I8" s="613"/>
      <c r="J8" s="613"/>
    </row>
    <row r="9" spans="1:218" ht="5.0999999999999996" customHeight="1" x14ac:dyDescent="0.2">
      <c r="A9" s="614"/>
      <c r="B9" s="614"/>
      <c r="C9" s="614"/>
      <c r="D9" s="614"/>
      <c r="E9" s="614"/>
      <c r="F9" s="614"/>
      <c r="G9" s="614"/>
      <c r="H9" s="614"/>
      <c r="I9" s="614"/>
      <c r="J9" s="614"/>
    </row>
    <row r="10" spans="1:218" s="616" customFormat="1" x14ac:dyDescent="0.2">
      <c r="A10" s="173" t="s">
        <v>208</v>
      </c>
      <c r="B10" s="376">
        <f t="shared" ref="B10:J10" si="0">B11+B12+B16+B24+B30+B32+B38+B43+B52</f>
        <v>1000515</v>
      </c>
      <c r="C10" s="615">
        <f t="shared" si="0"/>
        <v>1005392</v>
      </c>
      <c r="D10" s="615">
        <f t="shared" si="0"/>
        <v>1023160</v>
      </c>
      <c r="E10" s="615">
        <f t="shared" si="0"/>
        <v>1155535</v>
      </c>
      <c r="F10" s="615">
        <f t="shared" si="0"/>
        <v>1148507</v>
      </c>
      <c r="G10" s="376">
        <f t="shared" si="0"/>
        <v>1159039</v>
      </c>
      <c r="H10" s="376">
        <f t="shared" si="0"/>
        <v>1159699</v>
      </c>
      <c r="I10" s="376">
        <f t="shared" si="0"/>
        <v>1186418.9730000002</v>
      </c>
      <c r="J10" s="377">
        <f t="shared" si="0"/>
        <v>1180271</v>
      </c>
    </row>
    <row r="11" spans="1:218" s="616" customFormat="1" ht="15" customHeight="1" x14ac:dyDescent="0.2">
      <c r="A11" s="173" t="s">
        <v>209</v>
      </c>
      <c r="B11" s="615">
        <v>17300</v>
      </c>
      <c r="C11" s="615">
        <v>18527</v>
      </c>
      <c r="D11" s="615">
        <v>32364</v>
      </c>
      <c r="E11" s="615">
        <v>13308</v>
      </c>
      <c r="F11" s="615">
        <v>14518</v>
      </c>
      <c r="G11" s="615">
        <v>11831</v>
      </c>
      <c r="H11" s="376">
        <v>13378</v>
      </c>
      <c r="I11" s="376">
        <v>16706</v>
      </c>
      <c r="J11" s="377">
        <v>15029</v>
      </c>
    </row>
    <row r="12" spans="1:218" s="616" customFormat="1" ht="15" customHeight="1" x14ac:dyDescent="0.2">
      <c r="A12" s="173" t="s">
        <v>210</v>
      </c>
      <c r="B12" s="376">
        <f t="shared" ref="B12:F12" si="1">SUM(B13:B15)</f>
        <v>140644</v>
      </c>
      <c r="C12" s="376">
        <f t="shared" si="1"/>
        <v>165723</v>
      </c>
      <c r="D12" s="376">
        <f t="shared" si="1"/>
        <v>138704</v>
      </c>
      <c r="E12" s="376">
        <f t="shared" si="1"/>
        <v>177124</v>
      </c>
      <c r="F12" s="376">
        <f t="shared" si="1"/>
        <v>177636</v>
      </c>
      <c r="G12" s="615">
        <v>188008</v>
      </c>
      <c r="H12" s="376">
        <v>177583</v>
      </c>
      <c r="I12" s="376">
        <f t="shared" ref="I12:J12" si="2">SUM(I13:I15)</f>
        <v>178562</v>
      </c>
      <c r="J12" s="377">
        <f t="shared" si="2"/>
        <v>154347</v>
      </c>
    </row>
    <row r="13" spans="1:218" s="616" customFormat="1" ht="15" customHeight="1" x14ac:dyDescent="0.2">
      <c r="A13" s="172" t="s">
        <v>116</v>
      </c>
      <c r="B13" s="617">
        <v>130511</v>
      </c>
      <c r="C13" s="617">
        <v>155733</v>
      </c>
      <c r="D13" s="617">
        <v>131267</v>
      </c>
      <c r="E13" s="617">
        <v>163773</v>
      </c>
      <c r="F13" s="617">
        <v>169907</v>
      </c>
      <c r="G13" s="617">
        <v>182029</v>
      </c>
      <c r="H13" s="373">
        <v>171300</v>
      </c>
      <c r="I13" s="373">
        <v>171533</v>
      </c>
      <c r="J13" s="374">
        <v>144737</v>
      </c>
    </row>
    <row r="14" spans="1:218" s="616" customFormat="1" ht="15" customHeight="1" x14ac:dyDescent="0.2">
      <c r="A14" s="139" t="s">
        <v>211</v>
      </c>
      <c r="B14" s="617">
        <v>10168</v>
      </c>
      <c r="C14" s="617">
        <v>10007</v>
      </c>
      <c r="D14" s="617">
        <v>7448</v>
      </c>
      <c r="E14" s="617">
        <v>13365</v>
      </c>
      <c r="F14" s="617">
        <v>7729</v>
      </c>
      <c r="G14" s="617">
        <v>5993</v>
      </c>
      <c r="H14" s="373">
        <v>6296</v>
      </c>
      <c r="I14" s="373">
        <f>5985+1052</f>
        <v>7037</v>
      </c>
      <c r="J14" s="374">
        <v>9616</v>
      </c>
    </row>
    <row r="15" spans="1:218" s="616" customFormat="1" ht="15" customHeight="1" x14ac:dyDescent="0.2">
      <c r="A15" s="172" t="s">
        <v>113</v>
      </c>
      <c r="B15" s="373">
        <v>-35</v>
      </c>
      <c r="C15" s="373">
        <v>-17</v>
      </c>
      <c r="D15" s="373">
        <v>-11</v>
      </c>
      <c r="E15" s="373">
        <v>-14</v>
      </c>
      <c r="F15" s="373">
        <v>0</v>
      </c>
      <c r="G15" s="373">
        <v>-14</v>
      </c>
      <c r="H15" s="373">
        <v>-13</v>
      </c>
      <c r="I15" s="373">
        <v>-8</v>
      </c>
      <c r="J15" s="374">
        <v>-6</v>
      </c>
    </row>
    <row r="16" spans="1:218" s="616" customFormat="1" ht="15" customHeight="1" x14ac:dyDescent="0.2">
      <c r="A16" s="173" t="s">
        <v>212</v>
      </c>
      <c r="B16" s="376">
        <f t="shared" ref="B16:H16" si="3">SUM(B17:B23)</f>
        <v>354336</v>
      </c>
      <c r="C16" s="376">
        <f t="shared" si="3"/>
        <v>343577</v>
      </c>
      <c r="D16" s="376">
        <f t="shared" si="3"/>
        <v>380349</v>
      </c>
      <c r="E16" s="376">
        <f t="shared" si="3"/>
        <v>430270</v>
      </c>
      <c r="F16" s="376">
        <f t="shared" si="3"/>
        <v>440010</v>
      </c>
      <c r="G16" s="376">
        <f t="shared" si="3"/>
        <v>448510</v>
      </c>
      <c r="H16" s="376">
        <f t="shared" si="3"/>
        <v>455340</v>
      </c>
      <c r="I16" s="376">
        <f>SUM(I17:I23)</f>
        <v>480271.79399999999</v>
      </c>
      <c r="J16" s="377">
        <f>SUM(J17:J23)</f>
        <v>500609</v>
      </c>
    </row>
    <row r="17" spans="1:10" s="616" customFormat="1" ht="15" customHeight="1" x14ac:dyDescent="0.2">
      <c r="A17" s="172" t="s">
        <v>213</v>
      </c>
      <c r="B17" s="617">
        <v>291973</v>
      </c>
      <c r="C17" s="617">
        <v>297842</v>
      </c>
      <c r="D17" s="617">
        <v>304060</v>
      </c>
      <c r="E17" s="617">
        <v>351958</v>
      </c>
      <c r="F17" s="617">
        <v>334340</v>
      </c>
      <c r="G17" s="373">
        <v>377944</v>
      </c>
      <c r="H17" s="373">
        <v>357212</v>
      </c>
      <c r="I17" s="373">
        <f>255322.002+118342.447</f>
        <v>373664.44900000002</v>
      </c>
      <c r="J17" s="374">
        <v>406341</v>
      </c>
    </row>
    <row r="18" spans="1:10" s="616" customFormat="1" ht="15" customHeight="1" x14ac:dyDescent="0.2">
      <c r="A18" s="172" t="s">
        <v>214</v>
      </c>
      <c r="B18" s="617">
        <v>28421</v>
      </c>
      <c r="C18" s="617">
        <v>22261</v>
      </c>
      <c r="D18" s="617">
        <v>33800</v>
      </c>
      <c r="E18" s="617">
        <v>33757</v>
      </c>
      <c r="F18" s="617">
        <v>62944</v>
      </c>
      <c r="G18" s="373">
        <v>28240</v>
      </c>
      <c r="H18" s="373">
        <v>54456</v>
      </c>
      <c r="I18" s="373">
        <f>22471.384+40430.362</f>
        <v>62901.745999999999</v>
      </c>
      <c r="J18" s="374">
        <v>55273</v>
      </c>
    </row>
    <row r="19" spans="1:10" s="616" customFormat="1" ht="15" customHeight="1" x14ac:dyDescent="0.2">
      <c r="A19" s="172" t="s">
        <v>80</v>
      </c>
      <c r="B19" s="617">
        <v>19033</v>
      </c>
      <c r="C19" s="617">
        <v>12800</v>
      </c>
      <c r="D19" s="617">
        <v>22007</v>
      </c>
      <c r="E19" s="617">
        <v>16433</v>
      </c>
      <c r="F19" s="617">
        <v>16961</v>
      </c>
      <c r="G19" s="373">
        <v>18892</v>
      </c>
      <c r="H19" s="373">
        <v>15050</v>
      </c>
      <c r="I19" s="373">
        <f>15987.356+84.872</f>
        <v>16072.227999999999</v>
      </c>
      <c r="J19" s="374">
        <v>14239</v>
      </c>
    </row>
    <row r="20" spans="1:10" s="616" customFormat="1" ht="15" customHeight="1" x14ac:dyDescent="0.2">
      <c r="A20" s="172" t="s">
        <v>215</v>
      </c>
      <c r="B20" s="617">
        <v>22</v>
      </c>
      <c r="C20" s="617">
        <v>64</v>
      </c>
      <c r="D20" s="617">
        <v>65</v>
      </c>
      <c r="E20" s="617">
        <v>551</v>
      </c>
      <c r="F20" s="617">
        <v>174</v>
      </c>
      <c r="G20" s="373">
        <v>77</v>
      </c>
      <c r="H20" s="373">
        <v>83</v>
      </c>
      <c r="I20" s="373">
        <v>2</v>
      </c>
      <c r="J20" s="374">
        <v>0</v>
      </c>
    </row>
    <row r="21" spans="1:10" s="616" customFormat="1" ht="15" customHeight="1" x14ac:dyDescent="0.2">
      <c r="A21" s="172" t="s">
        <v>90</v>
      </c>
      <c r="B21" s="617">
        <v>52</v>
      </c>
      <c r="C21" s="617">
        <v>52</v>
      </c>
      <c r="D21" s="617">
        <v>50</v>
      </c>
      <c r="E21" s="617">
        <v>50</v>
      </c>
      <c r="F21" s="617">
        <v>49</v>
      </c>
      <c r="G21" s="373">
        <v>48</v>
      </c>
      <c r="H21" s="373">
        <v>46</v>
      </c>
      <c r="I21" s="373">
        <v>45</v>
      </c>
      <c r="J21" s="374">
        <v>44</v>
      </c>
    </row>
    <row r="22" spans="1:10" s="616" customFormat="1" ht="15" customHeight="1" x14ac:dyDescent="0.2">
      <c r="A22" s="172" t="s">
        <v>216</v>
      </c>
      <c r="B22" s="617">
        <v>9791</v>
      </c>
      <c r="C22" s="617">
        <v>9673</v>
      </c>
      <c r="D22" s="617">
        <v>15645</v>
      </c>
      <c r="E22" s="617">
        <v>19370</v>
      </c>
      <c r="F22" s="617">
        <v>17928</v>
      </c>
      <c r="G22" s="373">
        <v>16038</v>
      </c>
      <c r="H22" s="373">
        <v>19804</v>
      </c>
      <c r="I22" s="373">
        <f>16912.075+3946.296</f>
        <v>20858.370999999999</v>
      </c>
      <c r="J22" s="374">
        <v>19701</v>
      </c>
    </row>
    <row r="23" spans="1:10" s="616" customFormat="1" ht="15" customHeight="1" x14ac:dyDescent="0.2">
      <c r="A23" s="172" t="s">
        <v>217</v>
      </c>
      <c r="B23" s="617">
        <v>5044</v>
      </c>
      <c r="C23" s="617">
        <v>885</v>
      </c>
      <c r="D23" s="617">
        <v>4722</v>
      </c>
      <c r="E23" s="617">
        <v>8151</v>
      </c>
      <c r="F23" s="617">
        <v>7614</v>
      </c>
      <c r="G23" s="373">
        <v>7271</v>
      </c>
      <c r="H23" s="373">
        <v>8689</v>
      </c>
      <c r="I23" s="373">
        <v>6728</v>
      </c>
      <c r="J23" s="374">
        <v>5011</v>
      </c>
    </row>
    <row r="24" spans="1:10" s="616" customFormat="1" ht="15" customHeight="1" x14ac:dyDescent="0.2">
      <c r="A24" s="173" t="s">
        <v>218</v>
      </c>
      <c r="B24" s="376">
        <f t="shared" ref="B24:J24" si="4">SUM(B25:B29)</f>
        <v>55480</v>
      </c>
      <c r="C24" s="376">
        <f t="shared" si="4"/>
        <v>51374</v>
      </c>
      <c r="D24" s="376">
        <f t="shared" si="4"/>
        <v>49919</v>
      </c>
      <c r="E24" s="376">
        <f t="shared" si="4"/>
        <v>64577</v>
      </c>
      <c r="F24" s="376">
        <f t="shared" si="4"/>
        <v>58851</v>
      </c>
      <c r="G24" s="376">
        <f t="shared" si="4"/>
        <v>63453</v>
      </c>
      <c r="H24" s="376">
        <f t="shared" si="4"/>
        <v>69636</v>
      </c>
      <c r="I24" s="376">
        <f t="shared" si="4"/>
        <v>70051.688999999998</v>
      </c>
      <c r="J24" s="377">
        <f t="shared" si="4"/>
        <v>67933</v>
      </c>
    </row>
    <row r="25" spans="1:10" s="616" customFormat="1" ht="15" customHeight="1" x14ac:dyDescent="0.2">
      <c r="A25" s="172" t="s">
        <v>219</v>
      </c>
      <c r="B25" s="617">
        <v>0</v>
      </c>
      <c r="C25" s="617">
        <v>694</v>
      </c>
      <c r="D25" s="617">
        <v>971</v>
      </c>
      <c r="E25" s="617">
        <v>1210</v>
      </c>
      <c r="F25" s="617">
        <v>13</v>
      </c>
      <c r="G25" s="373">
        <v>959</v>
      </c>
      <c r="H25" s="373">
        <v>1275</v>
      </c>
      <c r="I25" s="373">
        <v>0</v>
      </c>
      <c r="J25" s="374">
        <v>0</v>
      </c>
    </row>
    <row r="26" spans="1:10" s="616" customFormat="1" ht="15" customHeight="1" x14ac:dyDescent="0.2">
      <c r="A26" s="169" t="s">
        <v>220</v>
      </c>
      <c r="B26" s="617"/>
      <c r="C26" s="617"/>
      <c r="D26" s="617"/>
      <c r="E26" s="617"/>
      <c r="F26" s="617"/>
      <c r="G26" s="373"/>
      <c r="H26" s="373"/>
      <c r="I26" s="373"/>
      <c r="J26" s="374"/>
    </row>
    <row r="27" spans="1:10" s="616" customFormat="1" ht="15" customHeight="1" x14ac:dyDescent="0.2">
      <c r="A27" s="139" t="s">
        <v>221</v>
      </c>
      <c r="B27" s="617">
        <v>54792</v>
      </c>
      <c r="C27" s="617">
        <v>49920</v>
      </c>
      <c r="D27" s="617">
        <v>48164</v>
      </c>
      <c r="E27" s="617">
        <v>62570</v>
      </c>
      <c r="F27" s="617">
        <v>58037</v>
      </c>
      <c r="G27" s="373">
        <v>61637</v>
      </c>
      <c r="H27" s="373">
        <v>67472</v>
      </c>
      <c r="I27" s="373">
        <v>69175</v>
      </c>
      <c r="J27" s="374">
        <v>66714</v>
      </c>
    </row>
    <row r="28" spans="1:10" s="616" customFormat="1" ht="15" customHeight="1" x14ac:dyDescent="0.2">
      <c r="A28" s="139" t="s">
        <v>223</v>
      </c>
      <c r="B28" s="373">
        <v>686</v>
      </c>
      <c r="C28" s="373">
        <v>710</v>
      </c>
      <c r="D28" s="373">
        <v>720</v>
      </c>
      <c r="E28" s="373">
        <v>733</v>
      </c>
      <c r="F28" s="373">
        <v>793</v>
      </c>
      <c r="G28" s="373">
        <v>809</v>
      </c>
      <c r="H28" s="373">
        <v>826</v>
      </c>
      <c r="I28" s="373">
        <f>19+813</f>
        <v>832</v>
      </c>
      <c r="J28" s="374">
        <v>1217</v>
      </c>
    </row>
    <row r="29" spans="1:10" s="616" customFormat="1" ht="15" customHeight="1" x14ac:dyDescent="0.2">
      <c r="A29" s="172" t="s">
        <v>225</v>
      </c>
      <c r="B29" s="373">
        <v>2</v>
      </c>
      <c r="C29" s="373">
        <v>50</v>
      </c>
      <c r="D29" s="373">
        <v>64</v>
      </c>
      <c r="E29" s="373">
        <v>64</v>
      </c>
      <c r="F29" s="373">
        <v>8</v>
      </c>
      <c r="G29" s="373">
        <v>48</v>
      </c>
      <c r="H29" s="373">
        <v>63</v>
      </c>
      <c r="I29" s="373">
        <v>44.689</v>
      </c>
      <c r="J29" s="374">
        <v>2</v>
      </c>
    </row>
    <row r="30" spans="1:10" s="616" customFormat="1" ht="15" customHeight="1" x14ac:dyDescent="0.2">
      <c r="A30" s="173" t="s">
        <v>226</v>
      </c>
      <c r="B30" s="376">
        <f t="shared" ref="B30:J30" si="5">SUM(B31:B31)</f>
        <v>248</v>
      </c>
      <c r="C30" s="376">
        <f t="shared" si="5"/>
        <v>100</v>
      </c>
      <c r="D30" s="376">
        <f t="shared" si="5"/>
        <v>102</v>
      </c>
      <c r="E30" s="376">
        <f t="shared" si="5"/>
        <v>144</v>
      </c>
      <c r="F30" s="376">
        <f t="shared" si="5"/>
        <v>157</v>
      </c>
      <c r="G30" s="376">
        <f t="shared" si="5"/>
        <v>142</v>
      </c>
      <c r="H30" s="376">
        <f t="shared" si="5"/>
        <v>111</v>
      </c>
      <c r="I30" s="376">
        <f t="shared" si="5"/>
        <v>100</v>
      </c>
      <c r="J30" s="377">
        <f t="shared" si="5"/>
        <v>263</v>
      </c>
    </row>
    <row r="31" spans="1:10" s="616" customFormat="1" ht="15" customHeight="1" x14ac:dyDescent="0.2">
      <c r="A31" s="172" t="s">
        <v>227</v>
      </c>
      <c r="B31" s="373">
        <v>248</v>
      </c>
      <c r="C31" s="373">
        <v>100</v>
      </c>
      <c r="D31" s="373">
        <v>102</v>
      </c>
      <c r="E31" s="373">
        <v>144</v>
      </c>
      <c r="F31" s="373">
        <v>157</v>
      </c>
      <c r="G31" s="373">
        <v>142</v>
      </c>
      <c r="H31" s="373">
        <v>111</v>
      </c>
      <c r="I31" s="373">
        <v>100</v>
      </c>
      <c r="J31" s="374">
        <v>263</v>
      </c>
    </row>
    <row r="32" spans="1:10" s="616" customFormat="1" ht="15" customHeight="1" x14ac:dyDescent="0.2">
      <c r="A32" s="173" t="s">
        <v>228</v>
      </c>
      <c r="B32" s="376">
        <f t="shared" ref="B32:H32" si="6">SUM(B34:B37)</f>
        <v>303057</v>
      </c>
      <c r="C32" s="376">
        <f t="shared" si="6"/>
        <v>288787</v>
      </c>
      <c r="D32" s="376">
        <f t="shared" si="6"/>
        <v>277465</v>
      </c>
      <c r="E32" s="376">
        <f t="shared" si="6"/>
        <v>317236</v>
      </c>
      <c r="F32" s="376">
        <f t="shared" si="6"/>
        <v>310045</v>
      </c>
      <c r="G32" s="376">
        <f t="shared" si="6"/>
        <v>300084</v>
      </c>
      <c r="H32" s="376">
        <f t="shared" si="6"/>
        <v>296045</v>
      </c>
      <c r="I32" s="376">
        <f>SUM(I34:I37)</f>
        <v>290395.80200000003</v>
      </c>
      <c r="J32" s="377">
        <f>SUM(J34:J37)</f>
        <v>287301</v>
      </c>
    </row>
    <row r="33" spans="1:10" s="616" customFormat="1" ht="15" customHeight="1" x14ac:dyDescent="0.2">
      <c r="A33" s="169" t="s">
        <v>229</v>
      </c>
      <c r="B33" s="619"/>
      <c r="C33" s="619"/>
      <c r="D33" s="619"/>
      <c r="E33" s="619"/>
      <c r="F33" s="619"/>
      <c r="G33" s="547"/>
      <c r="H33" s="547"/>
      <c r="I33" s="547"/>
      <c r="J33" s="464"/>
    </row>
    <row r="34" spans="1:10" s="616" customFormat="1" ht="15" customHeight="1" x14ac:dyDescent="0.2">
      <c r="A34" s="139" t="s">
        <v>230</v>
      </c>
      <c r="B34" s="617">
        <v>5427</v>
      </c>
      <c r="C34" s="617">
        <v>2778</v>
      </c>
      <c r="D34" s="617">
        <v>3236</v>
      </c>
      <c r="E34" s="617">
        <v>3390</v>
      </c>
      <c r="F34" s="617">
        <v>3424</v>
      </c>
      <c r="G34" s="373">
        <v>3442</v>
      </c>
      <c r="H34" s="373">
        <v>3076</v>
      </c>
      <c r="I34" s="373">
        <f>1035.226+3000</f>
        <v>4035.2260000000001</v>
      </c>
      <c r="J34" s="374">
        <v>4158</v>
      </c>
    </row>
    <row r="35" spans="1:10" s="616" customFormat="1" ht="15" customHeight="1" x14ac:dyDescent="0.2">
      <c r="A35" s="139" t="s">
        <v>231</v>
      </c>
      <c r="B35" s="617">
        <v>317487</v>
      </c>
      <c r="C35" s="617">
        <v>306701</v>
      </c>
      <c r="D35" s="617">
        <v>294729</v>
      </c>
      <c r="E35" s="617">
        <v>341373</v>
      </c>
      <c r="F35" s="617">
        <v>332071</v>
      </c>
      <c r="G35" s="373">
        <v>324632</v>
      </c>
      <c r="H35" s="373">
        <v>320079</v>
      </c>
      <c r="I35" s="373">
        <f>154792.77+157505.894</f>
        <v>312298.66399999999</v>
      </c>
      <c r="J35" s="374">
        <v>309125</v>
      </c>
    </row>
    <row r="36" spans="1:10" s="616" customFormat="1" ht="15" customHeight="1" x14ac:dyDescent="0.2">
      <c r="A36" s="139" t="s">
        <v>232</v>
      </c>
      <c r="B36" s="617">
        <v>7511</v>
      </c>
      <c r="C36" s="617">
        <v>7622</v>
      </c>
      <c r="D36" s="617">
        <v>8064</v>
      </c>
      <c r="E36" s="617">
        <v>8222</v>
      </c>
      <c r="F36" s="617">
        <v>8762</v>
      </c>
      <c r="G36" s="373">
        <v>8203</v>
      </c>
      <c r="H36" s="373">
        <v>8277</v>
      </c>
      <c r="I36" s="373">
        <f>1002.39+7380.736</f>
        <v>8383.1260000000002</v>
      </c>
      <c r="J36" s="374">
        <v>8456</v>
      </c>
    </row>
    <row r="37" spans="1:10" s="616" customFormat="1" ht="15" customHeight="1" x14ac:dyDescent="0.2">
      <c r="A37" s="172" t="s">
        <v>113</v>
      </c>
      <c r="B37" s="373">
        <v>-27368</v>
      </c>
      <c r="C37" s="373">
        <v>-28314</v>
      </c>
      <c r="D37" s="373">
        <v>-28564</v>
      </c>
      <c r="E37" s="373">
        <v>-35749</v>
      </c>
      <c r="F37" s="373">
        <v>-34212</v>
      </c>
      <c r="G37" s="373">
        <v>-36193</v>
      </c>
      <c r="H37" s="373">
        <v>-35387</v>
      </c>
      <c r="I37" s="373">
        <f>-20706.702-13614.512</f>
        <v>-34321.214</v>
      </c>
      <c r="J37" s="374">
        <v>-34438</v>
      </c>
    </row>
    <row r="38" spans="1:10" s="616" customFormat="1" ht="15" customHeight="1" x14ac:dyDescent="0.2">
      <c r="A38" s="173" t="s">
        <v>233</v>
      </c>
      <c r="B38" s="376">
        <f t="shared" ref="B38:J38" si="7">SUM(B40:B42)</f>
        <v>2886</v>
      </c>
      <c r="C38" s="376">
        <f t="shared" si="7"/>
        <v>2582</v>
      </c>
      <c r="D38" s="376">
        <f t="shared" si="7"/>
        <v>2296</v>
      </c>
      <c r="E38" s="376">
        <f t="shared" si="7"/>
        <v>2757</v>
      </c>
      <c r="F38" s="376">
        <f t="shared" si="7"/>
        <v>2597</v>
      </c>
      <c r="G38" s="376">
        <f t="shared" si="7"/>
        <v>2372</v>
      </c>
      <c r="H38" s="376">
        <f t="shared" si="7"/>
        <v>2201</v>
      </c>
      <c r="I38" s="376">
        <f t="shared" si="7"/>
        <v>2122.402</v>
      </c>
      <c r="J38" s="377">
        <f t="shared" si="7"/>
        <v>2103</v>
      </c>
    </row>
    <row r="39" spans="1:10" s="616" customFormat="1" ht="15" customHeight="1" x14ac:dyDescent="0.2">
      <c r="A39" s="169" t="s">
        <v>196</v>
      </c>
      <c r="B39" s="164"/>
      <c r="C39" s="164"/>
      <c r="D39" s="164"/>
      <c r="E39" s="164"/>
      <c r="F39" s="164"/>
      <c r="G39" s="373"/>
      <c r="H39" s="373"/>
      <c r="I39" s="373"/>
      <c r="J39" s="374"/>
    </row>
    <row r="40" spans="1:10" s="616" customFormat="1" ht="15" customHeight="1" x14ac:dyDescent="0.2">
      <c r="A40" s="139" t="s">
        <v>231</v>
      </c>
      <c r="B40" s="373">
        <v>5859</v>
      </c>
      <c r="C40" s="373">
        <v>5208</v>
      </c>
      <c r="D40" s="373">
        <v>4686</v>
      </c>
      <c r="E40" s="373">
        <v>5797</v>
      </c>
      <c r="F40" s="373">
        <v>5395</v>
      </c>
      <c r="G40" s="373">
        <v>4903</v>
      </c>
      <c r="H40" s="373">
        <v>4569</v>
      </c>
      <c r="I40" s="373">
        <f>2087.906+2284.299</f>
        <v>4372.2049999999999</v>
      </c>
      <c r="J40" s="374">
        <v>4396</v>
      </c>
    </row>
    <row r="41" spans="1:10" s="616" customFormat="1" ht="15" customHeight="1" x14ac:dyDescent="0.2">
      <c r="A41" s="139" t="s">
        <v>234</v>
      </c>
      <c r="B41" s="373">
        <v>-2787</v>
      </c>
      <c r="C41" s="373">
        <v>-2466</v>
      </c>
      <c r="D41" s="373">
        <v>-2220</v>
      </c>
      <c r="E41" s="373">
        <v>-2809</v>
      </c>
      <c r="F41" s="373">
        <v>-2611</v>
      </c>
      <c r="G41" s="373">
        <v>-2370</v>
      </c>
      <c r="H41" s="373">
        <v>-2205</v>
      </c>
      <c r="I41" s="373">
        <f>-950.145-1156.004</f>
        <v>-2106.1489999999999</v>
      </c>
      <c r="J41" s="374">
        <v>-2146</v>
      </c>
    </row>
    <row r="42" spans="1:10" s="616" customFormat="1" ht="15" customHeight="1" x14ac:dyDescent="0.2">
      <c r="A42" s="139" t="s">
        <v>235</v>
      </c>
      <c r="B42" s="373">
        <v>-186</v>
      </c>
      <c r="C42" s="373">
        <v>-160</v>
      </c>
      <c r="D42" s="373">
        <v>-170</v>
      </c>
      <c r="E42" s="373">
        <v>-231</v>
      </c>
      <c r="F42" s="373">
        <v>-187</v>
      </c>
      <c r="G42" s="373">
        <v>-161</v>
      </c>
      <c r="H42" s="373">
        <v>-163</v>
      </c>
      <c r="I42" s="373">
        <f>-77.088-66.566</f>
        <v>-143.654</v>
      </c>
      <c r="J42" s="374">
        <v>-147</v>
      </c>
    </row>
    <row r="43" spans="1:10" s="616" customFormat="1" ht="15" customHeight="1" x14ac:dyDescent="0.2">
      <c r="A43" s="173" t="s">
        <v>236</v>
      </c>
      <c r="B43" s="376">
        <f t="shared" ref="B43:F43" si="8">SUM(B44:B51)</f>
        <v>121076</v>
      </c>
      <c r="C43" s="376">
        <f t="shared" si="8"/>
        <v>129237</v>
      </c>
      <c r="D43" s="376">
        <f t="shared" si="8"/>
        <v>136612</v>
      </c>
      <c r="E43" s="376">
        <f t="shared" si="8"/>
        <v>144616</v>
      </c>
      <c r="F43" s="376">
        <f t="shared" si="8"/>
        <v>139417</v>
      </c>
      <c r="G43" s="376">
        <f t="shared" ref="G43:H43" si="9">SUM(G44:G51)</f>
        <v>139366</v>
      </c>
      <c r="H43" s="376">
        <f t="shared" si="9"/>
        <v>140804</v>
      </c>
      <c r="I43" s="376">
        <f>SUM(I44:I51)</f>
        <v>143912.348</v>
      </c>
      <c r="J43" s="377">
        <f>SUM(J44:J51)</f>
        <v>148420</v>
      </c>
    </row>
    <row r="44" spans="1:10" s="616" customFormat="1" ht="15" customHeight="1" x14ac:dyDescent="0.2">
      <c r="A44" s="139" t="s">
        <v>237</v>
      </c>
      <c r="B44" s="617">
        <v>104</v>
      </c>
      <c r="C44" s="617">
        <v>167</v>
      </c>
      <c r="D44" s="617">
        <v>141</v>
      </c>
      <c r="E44" s="617">
        <v>369</v>
      </c>
      <c r="F44" s="617">
        <v>1377</v>
      </c>
      <c r="G44" s="373">
        <v>1273</v>
      </c>
      <c r="H44" s="373">
        <v>416</v>
      </c>
      <c r="I44" s="373">
        <v>370.05599999999998</v>
      </c>
      <c r="J44" s="374">
        <v>128</v>
      </c>
    </row>
    <row r="45" spans="1:10" s="616" customFormat="1" ht="15" customHeight="1" x14ac:dyDescent="0.2">
      <c r="A45" s="139" t="s">
        <v>118</v>
      </c>
      <c r="B45" s="617">
        <v>14369</v>
      </c>
      <c r="C45" s="617">
        <v>26533</v>
      </c>
      <c r="D45" s="617">
        <v>33576</v>
      </c>
      <c r="E45" s="617">
        <v>23756</v>
      </c>
      <c r="F45" s="617">
        <v>17621</v>
      </c>
      <c r="G45" s="373">
        <v>20244</v>
      </c>
      <c r="H45" s="373">
        <v>17402</v>
      </c>
      <c r="I45" s="373">
        <v>20524.948</v>
      </c>
      <c r="J45" s="374">
        <v>17470</v>
      </c>
    </row>
    <row r="46" spans="1:10" s="616" customFormat="1" ht="15" customHeight="1" x14ac:dyDescent="0.2">
      <c r="A46" s="139" t="s">
        <v>238</v>
      </c>
      <c r="B46" s="617">
        <v>1240</v>
      </c>
      <c r="C46" s="617">
        <v>1082</v>
      </c>
      <c r="D46" s="617">
        <v>1693</v>
      </c>
      <c r="E46" s="617">
        <v>1588</v>
      </c>
      <c r="F46" s="617">
        <v>1559</v>
      </c>
      <c r="G46" s="373">
        <v>1469</v>
      </c>
      <c r="H46" s="373">
        <v>1913</v>
      </c>
      <c r="I46" s="373">
        <f>1387.922+20.078</f>
        <v>1408</v>
      </c>
      <c r="J46" s="374">
        <v>1843</v>
      </c>
    </row>
    <row r="47" spans="1:10" s="616" customFormat="1" ht="15" customHeight="1" x14ac:dyDescent="0.2">
      <c r="A47" s="139" t="s">
        <v>239</v>
      </c>
      <c r="B47" s="617">
        <v>2867</v>
      </c>
      <c r="C47" s="617">
        <v>2649</v>
      </c>
      <c r="D47" s="617">
        <v>2303</v>
      </c>
      <c r="E47" s="617">
        <v>2302</v>
      </c>
      <c r="F47" s="617">
        <v>1954</v>
      </c>
      <c r="G47" s="373">
        <v>1651</v>
      </c>
      <c r="H47" s="373">
        <v>1421</v>
      </c>
      <c r="I47" s="373">
        <f>1715.426+264.287</f>
        <v>1979.713</v>
      </c>
      <c r="J47" s="374">
        <v>1742</v>
      </c>
    </row>
    <row r="48" spans="1:10" s="616" customFormat="1" ht="15" customHeight="1" x14ac:dyDescent="0.2">
      <c r="A48" s="139" t="s">
        <v>240</v>
      </c>
      <c r="B48" s="617">
        <v>7</v>
      </c>
      <c r="C48" s="617">
        <v>7</v>
      </c>
      <c r="D48" s="617">
        <v>8</v>
      </c>
      <c r="E48" s="617">
        <v>13</v>
      </c>
      <c r="F48" s="617">
        <v>13</v>
      </c>
      <c r="G48" s="373">
        <v>15</v>
      </c>
      <c r="H48" s="373">
        <v>19</v>
      </c>
      <c r="I48" s="373">
        <v>22.207999999999998</v>
      </c>
      <c r="J48" s="374">
        <v>24</v>
      </c>
    </row>
    <row r="49" spans="1:10" s="616" customFormat="1" ht="15" customHeight="1" x14ac:dyDescent="0.2">
      <c r="A49" s="139" t="s">
        <v>648</v>
      </c>
      <c r="B49" s="617">
        <v>4480</v>
      </c>
      <c r="C49" s="617">
        <v>4480</v>
      </c>
      <c r="D49" s="617">
        <v>4810</v>
      </c>
      <c r="E49" s="617">
        <v>5274</v>
      </c>
      <c r="F49" s="617">
        <v>5146</v>
      </c>
      <c r="G49" s="373">
        <v>4870</v>
      </c>
      <c r="H49" s="373">
        <v>4765</v>
      </c>
      <c r="I49" s="373">
        <v>3949.69</v>
      </c>
      <c r="J49" s="374">
        <v>3917</v>
      </c>
    </row>
    <row r="50" spans="1:10" s="616" customFormat="1" ht="15" customHeight="1" x14ac:dyDescent="0.2">
      <c r="A50" s="172" t="s">
        <v>241</v>
      </c>
      <c r="B50" s="617">
        <v>99177</v>
      </c>
      <c r="C50" s="617">
        <v>95439</v>
      </c>
      <c r="D50" s="617">
        <v>95280</v>
      </c>
      <c r="E50" s="617">
        <v>113391</v>
      </c>
      <c r="F50" s="617">
        <v>114902</v>
      </c>
      <c r="G50" s="373">
        <v>112577</v>
      </c>
      <c r="H50" s="373">
        <v>116770</v>
      </c>
      <c r="I50" s="373">
        <f>60823.56+56845.733</f>
        <v>117669.29300000001</v>
      </c>
      <c r="J50" s="374">
        <v>125136</v>
      </c>
    </row>
    <row r="51" spans="1:10" s="616" customFormat="1" ht="15" customHeight="1" x14ac:dyDescent="0.2">
      <c r="A51" s="139" t="s">
        <v>242</v>
      </c>
      <c r="B51" s="373">
        <v>-1168</v>
      </c>
      <c r="C51" s="373">
        <v>-1120</v>
      </c>
      <c r="D51" s="373">
        <v>-1199</v>
      </c>
      <c r="E51" s="373">
        <v>-2077</v>
      </c>
      <c r="F51" s="373">
        <v>-3155</v>
      </c>
      <c r="G51" s="373">
        <v>-2733</v>
      </c>
      <c r="H51" s="373">
        <v>-1902</v>
      </c>
      <c r="I51" s="373">
        <f>-1997.682-13.878</f>
        <v>-2011.56</v>
      </c>
      <c r="J51" s="374">
        <v>-1840</v>
      </c>
    </row>
    <row r="52" spans="1:10" s="616" customFormat="1" ht="15" customHeight="1" x14ac:dyDescent="0.2">
      <c r="A52" s="173" t="s">
        <v>243</v>
      </c>
      <c r="B52" s="376">
        <f t="shared" ref="B52:F52" si="10">SUM(B53:B55)</f>
        <v>5488</v>
      </c>
      <c r="C52" s="376">
        <f t="shared" si="10"/>
        <v>5485</v>
      </c>
      <c r="D52" s="376">
        <f t="shared" si="10"/>
        <v>5349</v>
      </c>
      <c r="E52" s="376">
        <f t="shared" si="10"/>
        <v>5503</v>
      </c>
      <c r="F52" s="376">
        <f t="shared" si="10"/>
        <v>5276</v>
      </c>
      <c r="G52" s="376">
        <f t="shared" ref="G52:H52" si="11">SUM(G53:G55)</f>
        <v>5273</v>
      </c>
      <c r="H52" s="376">
        <f t="shared" si="11"/>
        <v>4601</v>
      </c>
      <c r="I52" s="376">
        <f>SUM(I53:I55)</f>
        <v>4296.9380000000001</v>
      </c>
      <c r="J52" s="377">
        <f>SUM(J53:J55)</f>
        <v>4266</v>
      </c>
    </row>
    <row r="53" spans="1:10" s="616" customFormat="1" ht="15" customHeight="1" x14ac:dyDescent="0.2">
      <c r="A53" s="172" t="s">
        <v>244</v>
      </c>
      <c r="B53" s="617">
        <v>2173</v>
      </c>
      <c r="C53" s="617">
        <v>2354</v>
      </c>
      <c r="D53" s="617">
        <v>2504</v>
      </c>
      <c r="E53" s="617">
        <v>2788</v>
      </c>
      <c r="F53" s="617">
        <v>2868</v>
      </c>
      <c r="G53" s="373">
        <v>3016</v>
      </c>
      <c r="H53" s="373">
        <v>2971</v>
      </c>
      <c r="I53" s="373">
        <v>2990.18</v>
      </c>
      <c r="J53" s="374">
        <v>2933</v>
      </c>
    </row>
    <row r="54" spans="1:10" s="616" customFormat="1" ht="15" customHeight="1" x14ac:dyDescent="0.2">
      <c r="A54" s="139" t="s">
        <v>245</v>
      </c>
      <c r="B54" s="373">
        <v>-871</v>
      </c>
      <c r="C54" s="373">
        <v>-926</v>
      </c>
      <c r="D54" s="373">
        <v>-950</v>
      </c>
      <c r="E54" s="373">
        <v>-1188</v>
      </c>
      <c r="F54" s="373">
        <v>-1257</v>
      </c>
      <c r="G54" s="373">
        <v>-1292</v>
      </c>
      <c r="H54" s="373">
        <v>-1320</v>
      </c>
      <c r="I54" s="373">
        <v>-1364.7909999999999</v>
      </c>
      <c r="J54" s="374">
        <v>-1389</v>
      </c>
    </row>
    <row r="55" spans="1:10" s="616" customFormat="1" ht="15" customHeight="1" x14ac:dyDescent="0.2">
      <c r="A55" s="139" t="s">
        <v>246</v>
      </c>
      <c r="B55" s="617">
        <v>4186</v>
      </c>
      <c r="C55" s="617">
        <v>4057</v>
      </c>
      <c r="D55" s="617">
        <v>3795</v>
      </c>
      <c r="E55" s="617">
        <v>3903</v>
      </c>
      <c r="F55" s="617">
        <v>3665</v>
      </c>
      <c r="G55" s="373">
        <v>3549</v>
      </c>
      <c r="H55" s="373">
        <v>2950</v>
      </c>
      <c r="I55" s="373">
        <f>1769.271+902.278</f>
        <v>2671.549</v>
      </c>
      <c r="J55" s="374">
        <v>2722</v>
      </c>
    </row>
    <row r="56" spans="1:10" s="616" customFormat="1" ht="15" customHeight="1" x14ac:dyDescent="0.2">
      <c r="A56" s="173" t="s">
        <v>247</v>
      </c>
      <c r="B56" s="376">
        <f>B57+B63+B67</f>
        <v>18393</v>
      </c>
      <c r="C56" s="376">
        <f>C57+C63+C67</f>
        <v>18582</v>
      </c>
      <c r="D56" s="376">
        <f>D57+D63+D67</f>
        <v>18655</v>
      </c>
      <c r="E56" s="376">
        <f>E57+E63+E67</f>
        <v>30320</v>
      </c>
      <c r="F56" s="376">
        <f>F57+F63+F67</f>
        <v>31100</v>
      </c>
      <c r="G56" s="376">
        <f t="shared" ref="G56:H56" si="12">G57+G63+G67</f>
        <v>30342</v>
      </c>
      <c r="H56" s="376">
        <f t="shared" si="12"/>
        <v>29425</v>
      </c>
      <c r="I56" s="376">
        <f>I57+I63+I67</f>
        <v>30272.054</v>
      </c>
      <c r="J56" s="377">
        <f>J57+J63+J67</f>
        <v>31000.679</v>
      </c>
    </row>
    <row r="57" spans="1:10" s="616" customFormat="1" ht="15" customHeight="1" x14ac:dyDescent="0.2">
      <c r="A57" s="173" t="s">
        <v>248</v>
      </c>
      <c r="B57" s="376">
        <f t="shared" ref="B57:F57" si="13">SUM(B59:B62)</f>
        <v>5824</v>
      </c>
      <c r="C57" s="376">
        <f t="shared" si="13"/>
        <v>6175</v>
      </c>
      <c r="D57" s="376">
        <f t="shared" si="13"/>
        <v>6402</v>
      </c>
      <c r="E57" s="376">
        <f t="shared" si="13"/>
        <v>6817</v>
      </c>
      <c r="F57" s="376">
        <f t="shared" si="13"/>
        <v>7039</v>
      </c>
      <c r="G57" s="376">
        <f>SUM(G59:G62)</f>
        <v>7302</v>
      </c>
      <c r="H57" s="376">
        <f>SUM(H59:H62)</f>
        <v>7417</v>
      </c>
      <c r="I57" s="376">
        <f>SUM(I59:I62)</f>
        <v>7881.1720000000005</v>
      </c>
      <c r="J57" s="377">
        <f>SUM(J59:J62)</f>
        <v>8022.679000000001</v>
      </c>
    </row>
    <row r="58" spans="1:10" s="616" customFormat="1" ht="15" customHeight="1" x14ac:dyDescent="0.2">
      <c r="A58" s="143" t="s">
        <v>646</v>
      </c>
      <c r="B58" s="617"/>
      <c r="C58" s="373"/>
      <c r="D58" s="373"/>
      <c r="E58" s="373"/>
      <c r="F58" s="373"/>
      <c r="G58" s="373"/>
      <c r="H58" s="373"/>
      <c r="I58" s="373"/>
      <c r="J58" s="374"/>
    </row>
    <row r="59" spans="1:10" s="616" customFormat="1" ht="15" customHeight="1" x14ac:dyDescent="0.2">
      <c r="A59" s="139" t="s">
        <v>249</v>
      </c>
      <c r="B59" s="617">
        <v>5682</v>
      </c>
      <c r="C59" s="373">
        <v>6032</v>
      </c>
      <c r="D59" s="373">
        <v>6258</v>
      </c>
      <c r="E59" s="373">
        <v>6664</v>
      </c>
      <c r="F59" s="373">
        <v>6886</v>
      </c>
      <c r="G59" s="373">
        <v>7152</v>
      </c>
      <c r="H59" s="373">
        <v>7269</v>
      </c>
      <c r="I59" s="373">
        <v>7732.4930000000004</v>
      </c>
      <c r="J59" s="374">
        <v>7874</v>
      </c>
    </row>
    <row r="60" spans="1:10" s="616" customFormat="1" ht="15" customHeight="1" x14ac:dyDescent="0.2">
      <c r="A60" s="139" t="s">
        <v>647</v>
      </c>
      <c r="B60" s="617">
        <v>2</v>
      </c>
      <c r="C60" s="373">
        <v>3</v>
      </c>
      <c r="D60" s="373">
        <v>3</v>
      </c>
      <c r="E60" s="373">
        <v>3</v>
      </c>
      <c r="F60" s="373">
        <v>3</v>
      </c>
      <c r="G60" s="373">
        <v>0</v>
      </c>
      <c r="H60" s="373">
        <v>0</v>
      </c>
      <c r="I60" s="373">
        <v>0</v>
      </c>
      <c r="J60" s="374">
        <v>0</v>
      </c>
    </row>
    <row r="61" spans="1:10" s="616" customFormat="1" ht="15" customHeight="1" x14ac:dyDescent="0.2">
      <c r="A61" s="139" t="s">
        <v>250</v>
      </c>
      <c r="B61" s="373">
        <v>391</v>
      </c>
      <c r="C61" s="373">
        <v>391</v>
      </c>
      <c r="D61" s="373">
        <v>389</v>
      </c>
      <c r="E61" s="373">
        <v>405</v>
      </c>
      <c r="F61" s="373">
        <v>404</v>
      </c>
      <c r="G61" s="373">
        <v>405</v>
      </c>
      <c r="H61" s="373">
        <v>403</v>
      </c>
      <c r="I61" s="373">
        <v>403.43200000000002</v>
      </c>
      <c r="J61" s="374">
        <v>403.43200000000002</v>
      </c>
    </row>
    <row r="62" spans="1:10" s="616" customFormat="1" ht="15" customHeight="1" x14ac:dyDescent="0.2">
      <c r="A62" s="139" t="s">
        <v>251</v>
      </c>
      <c r="B62" s="373">
        <v>-251</v>
      </c>
      <c r="C62" s="373">
        <v>-251</v>
      </c>
      <c r="D62" s="373">
        <v>-248</v>
      </c>
      <c r="E62" s="373">
        <v>-255</v>
      </c>
      <c r="F62" s="373">
        <v>-254</v>
      </c>
      <c r="G62" s="373">
        <v>-255</v>
      </c>
      <c r="H62" s="373">
        <v>-255</v>
      </c>
      <c r="I62" s="373">
        <v>-254.75299999999999</v>
      </c>
      <c r="J62" s="374">
        <v>-254.75299999999999</v>
      </c>
    </row>
    <row r="63" spans="1:10" s="616" customFormat="1" ht="15" customHeight="1" x14ac:dyDescent="0.2">
      <c r="A63" s="145" t="s">
        <v>252</v>
      </c>
      <c r="B63" s="376">
        <f t="shared" ref="B63:H63" si="14">SUM(B64:B66)</f>
        <v>5496</v>
      </c>
      <c r="C63" s="376">
        <f t="shared" si="14"/>
        <v>5522</v>
      </c>
      <c r="D63" s="376">
        <f t="shared" si="14"/>
        <v>5446</v>
      </c>
      <c r="E63" s="376">
        <f t="shared" si="14"/>
        <v>6696</v>
      </c>
      <c r="F63" s="376">
        <f t="shared" si="14"/>
        <v>7722</v>
      </c>
      <c r="G63" s="376">
        <f t="shared" si="14"/>
        <v>7568</v>
      </c>
      <c r="H63" s="376">
        <f t="shared" si="14"/>
        <v>7359</v>
      </c>
      <c r="I63" s="376">
        <f>SUM(I64:I66)</f>
        <v>7249.5090000000009</v>
      </c>
      <c r="J63" s="377">
        <f>SUM(J64:J66)</f>
        <v>7744</v>
      </c>
    </row>
    <row r="64" spans="1:10" s="616" customFormat="1" ht="15" customHeight="1" x14ac:dyDescent="0.2">
      <c r="A64" s="139" t="s">
        <v>253</v>
      </c>
      <c r="B64" s="617">
        <v>1534</v>
      </c>
      <c r="C64" s="617">
        <v>1896</v>
      </c>
      <c r="D64" s="617">
        <v>1914</v>
      </c>
      <c r="E64" s="617">
        <v>2728</v>
      </c>
      <c r="F64" s="617">
        <v>2619</v>
      </c>
      <c r="G64" s="373">
        <v>2627</v>
      </c>
      <c r="H64" s="373">
        <v>2631</v>
      </c>
      <c r="I64" s="373">
        <v>2637.19</v>
      </c>
      <c r="J64" s="374">
        <v>2601</v>
      </c>
    </row>
    <row r="65" spans="1:10" s="616" customFormat="1" ht="15" customHeight="1" x14ac:dyDescent="0.2">
      <c r="A65" s="139" t="s">
        <v>254</v>
      </c>
      <c r="B65" s="617">
        <v>10717</v>
      </c>
      <c r="C65" s="617">
        <v>10488</v>
      </c>
      <c r="D65" s="617">
        <v>10466</v>
      </c>
      <c r="E65" s="617">
        <v>11710</v>
      </c>
      <c r="F65" s="617">
        <v>12316</v>
      </c>
      <c r="G65" s="373">
        <v>12340</v>
      </c>
      <c r="H65" s="373">
        <v>12378</v>
      </c>
      <c r="I65" s="373">
        <v>12496.073</v>
      </c>
      <c r="J65" s="374">
        <v>13252</v>
      </c>
    </row>
    <row r="66" spans="1:10" s="616" customFormat="1" ht="15" customHeight="1" x14ac:dyDescent="0.2">
      <c r="A66" s="139" t="s">
        <v>255</v>
      </c>
      <c r="B66" s="373">
        <v>-6755</v>
      </c>
      <c r="C66" s="373">
        <v>-6862</v>
      </c>
      <c r="D66" s="373">
        <v>-6934</v>
      </c>
      <c r="E66" s="373">
        <v>-7742</v>
      </c>
      <c r="F66" s="373">
        <v>-7213</v>
      </c>
      <c r="G66" s="373">
        <v>-7399</v>
      </c>
      <c r="H66" s="373">
        <v>-7650</v>
      </c>
      <c r="I66" s="373">
        <v>-7883.7539999999999</v>
      </c>
      <c r="J66" s="374">
        <v>-8109</v>
      </c>
    </row>
    <row r="67" spans="1:10" s="616" customFormat="1" ht="15" customHeight="1" x14ac:dyDescent="0.2">
      <c r="A67" s="173" t="s">
        <v>261</v>
      </c>
      <c r="B67" s="548">
        <f t="shared" ref="B67:H67" si="15">SUM(B68:B69)</f>
        <v>7073</v>
      </c>
      <c r="C67" s="548">
        <f t="shared" si="15"/>
        <v>6885</v>
      </c>
      <c r="D67" s="548">
        <f t="shared" si="15"/>
        <v>6807</v>
      </c>
      <c r="E67" s="548">
        <f t="shared" si="15"/>
        <v>16807</v>
      </c>
      <c r="F67" s="548">
        <f t="shared" si="15"/>
        <v>16339</v>
      </c>
      <c r="G67" s="548">
        <f t="shared" si="15"/>
        <v>15472</v>
      </c>
      <c r="H67" s="548">
        <f t="shared" si="15"/>
        <v>14649</v>
      </c>
      <c r="I67" s="548">
        <f>SUM(I68:I69)</f>
        <v>15141.373</v>
      </c>
      <c r="J67" s="465">
        <f>SUM(J68:J69)</f>
        <v>15234</v>
      </c>
    </row>
    <row r="68" spans="1:10" s="616" customFormat="1" ht="15" customHeight="1" x14ac:dyDescent="0.2">
      <c r="A68" s="172" t="s">
        <v>77</v>
      </c>
      <c r="B68" s="617">
        <v>16745</v>
      </c>
      <c r="C68" s="617">
        <v>16262</v>
      </c>
      <c r="D68" s="617">
        <v>16753</v>
      </c>
      <c r="E68" s="617">
        <v>28825</v>
      </c>
      <c r="F68" s="617">
        <v>28563</v>
      </c>
      <c r="G68" s="373">
        <v>26691</v>
      </c>
      <c r="H68" s="373">
        <v>27008</v>
      </c>
      <c r="I68" s="373">
        <v>28569.031999999999</v>
      </c>
      <c r="J68" s="374">
        <v>29709</v>
      </c>
    </row>
    <row r="69" spans="1:10" s="616" customFormat="1" ht="15" customHeight="1" x14ac:dyDescent="0.2">
      <c r="A69" s="139" t="s">
        <v>260</v>
      </c>
      <c r="B69" s="373">
        <v>-9672</v>
      </c>
      <c r="C69" s="373">
        <v>-9377</v>
      </c>
      <c r="D69" s="373">
        <v>-9946</v>
      </c>
      <c r="E69" s="373">
        <v>-12018</v>
      </c>
      <c r="F69" s="373">
        <v>-12224</v>
      </c>
      <c r="G69" s="373">
        <v>-11219</v>
      </c>
      <c r="H69" s="373">
        <v>-12359</v>
      </c>
      <c r="I69" s="373">
        <v>-13427.659</v>
      </c>
      <c r="J69" s="374">
        <v>-14475</v>
      </c>
    </row>
    <row r="70" spans="1:10" s="616" customFormat="1" ht="5.0999999999999996" customHeight="1" x14ac:dyDescent="0.2">
      <c r="A70" s="620"/>
      <c r="B70" s="373"/>
      <c r="C70" s="617"/>
      <c r="D70" s="373"/>
      <c r="E70" s="373"/>
      <c r="F70" s="373"/>
      <c r="G70" s="373"/>
      <c r="H70" s="373"/>
      <c r="I70" s="373"/>
      <c r="J70" s="373"/>
    </row>
    <row r="71" spans="1:10" s="605" customFormat="1" ht="15" customHeight="1" thickBot="1" x14ac:dyDescent="0.25">
      <c r="A71" s="621" t="s">
        <v>9</v>
      </c>
      <c r="B71" s="375">
        <f t="shared" ref="B71:J71" si="16">B10+B56</f>
        <v>1018908</v>
      </c>
      <c r="C71" s="375">
        <f t="shared" si="16"/>
        <v>1023974</v>
      </c>
      <c r="D71" s="375">
        <f t="shared" si="16"/>
        <v>1041815</v>
      </c>
      <c r="E71" s="375">
        <f t="shared" si="16"/>
        <v>1185855</v>
      </c>
      <c r="F71" s="375">
        <f t="shared" si="16"/>
        <v>1179607</v>
      </c>
      <c r="G71" s="375">
        <f t="shared" si="16"/>
        <v>1189381</v>
      </c>
      <c r="H71" s="375">
        <f t="shared" si="16"/>
        <v>1189124</v>
      </c>
      <c r="I71" s="375">
        <f t="shared" si="16"/>
        <v>1216691.0270000002</v>
      </c>
      <c r="J71" s="375">
        <f t="shared" si="16"/>
        <v>1211271.679</v>
      </c>
    </row>
    <row r="72" spans="1:10" s="624" customFormat="1" ht="15" customHeight="1" thickTop="1" x14ac:dyDescent="0.2">
      <c r="A72" s="622"/>
      <c r="B72" s="622"/>
      <c r="C72" s="622"/>
      <c r="D72" s="622"/>
      <c r="E72" s="622"/>
      <c r="F72" s="623"/>
      <c r="G72" s="623"/>
      <c r="H72" s="623"/>
      <c r="I72" s="623"/>
      <c r="J72" s="623"/>
    </row>
    <row r="73" spans="1:10" x14ac:dyDescent="0.2">
      <c r="B73" s="716"/>
      <c r="C73" s="716"/>
      <c r="D73" s="716"/>
      <c r="E73" s="716"/>
      <c r="F73" s="716"/>
      <c r="G73" s="716"/>
      <c r="H73" s="716"/>
      <c r="I73" s="716"/>
      <c r="J73" s="716"/>
    </row>
  </sheetData>
  <hyperlinks>
    <hyperlink ref="J6" location="Índex!E9" display="Índex"/>
  </hyperlinks>
  <printOptions horizontalCentered="1"/>
  <pageMargins left="0" right="0" top="0.19685039370078741" bottom="0.19685039370078741" header="0" footer="0"/>
  <pageSetup paperSize="9" scale="70" orientation="portrait" r:id="rId1"/>
  <headerFooter>
    <oddHeader>&amp;R&amp;P/&amp;N</oddHeader>
  </headerFooter>
  <colBreaks count="1" manualBreakCount="1">
    <brk id="6" max="74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J68"/>
  <sheetViews>
    <sheetView showGridLines="0" zoomScaleNormal="100" workbookViewId="0">
      <pane xSplit="1" ySplit="9" topLeftCell="B10" activePane="bottomRight" state="frozen"/>
      <selection activeCell="E9" sqref="E9"/>
      <selection pane="topRight" activeCell="E9" sqref="E9"/>
      <selection pane="bottomLeft" activeCell="E9" sqref="E9"/>
      <selection pane="bottomRight" activeCell="J6" sqref="J6"/>
    </sheetView>
  </sheetViews>
  <sheetFormatPr defaultColWidth="12.5703125" defaultRowHeight="12" x14ac:dyDescent="0.2"/>
  <cols>
    <col min="1" max="1" width="88.5703125" style="623" bestFit="1" customWidth="1"/>
    <col min="2" max="10" width="10.7109375" style="623" customWidth="1"/>
    <col min="11" max="16384" width="12.5703125" style="600"/>
  </cols>
  <sheetData>
    <row r="1" spans="1:218" ht="15" customHeight="1" x14ac:dyDescent="0.2">
      <c r="A1" s="595"/>
      <c r="B1" s="596"/>
      <c r="C1" s="596"/>
      <c r="D1" s="596"/>
      <c r="E1" s="596"/>
      <c r="F1" s="597"/>
      <c r="G1" s="598"/>
      <c r="H1" s="596"/>
      <c r="I1" s="596"/>
      <c r="J1" s="596"/>
      <c r="K1" s="598"/>
      <c r="L1" s="598"/>
      <c r="M1" s="598"/>
      <c r="N1" s="598"/>
      <c r="O1" s="598"/>
      <c r="P1" s="598"/>
      <c r="Q1" s="598"/>
      <c r="R1" s="598"/>
      <c r="S1" s="598"/>
      <c r="T1" s="598"/>
      <c r="U1" s="598"/>
      <c r="V1" s="598"/>
      <c r="W1" s="598"/>
      <c r="X1" s="598"/>
      <c r="Y1" s="598"/>
      <c r="Z1" s="598"/>
      <c r="AA1" s="598"/>
      <c r="AB1" s="598"/>
      <c r="AC1" s="598"/>
      <c r="AD1" s="598"/>
      <c r="AE1" s="598"/>
      <c r="AF1" s="598"/>
      <c r="AG1" s="598"/>
      <c r="AH1" s="598"/>
      <c r="AI1" s="598"/>
      <c r="AJ1" s="598"/>
      <c r="AK1" s="598"/>
      <c r="AL1" s="598"/>
      <c r="AM1" s="598"/>
      <c r="AN1" s="598"/>
      <c r="AO1" s="598"/>
      <c r="AP1" s="598"/>
      <c r="AQ1" s="598"/>
      <c r="AR1" s="598"/>
      <c r="AS1" s="599"/>
      <c r="AT1" s="598"/>
      <c r="AU1" s="599"/>
      <c r="AV1" s="598"/>
      <c r="AW1" s="599"/>
      <c r="AX1" s="598"/>
      <c r="AY1" s="599"/>
      <c r="AZ1" s="598"/>
      <c r="BA1" s="599"/>
      <c r="BB1" s="598"/>
      <c r="BC1" s="599"/>
      <c r="BD1" s="598"/>
      <c r="BE1" s="599"/>
      <c r="BF1" s="598"/>
      <c r="BG1" s="599"/>
      <c r="BH1" s="598"/>
      <c r="BI1" s="599"/>
      <c r="BJ1" s="598"/>
      <c r="BK1" s="599"/>
      <c r="BL1" s="598"/>
      <c r="BM1" s="599"/>
      <c r="BN1" s="598"/>
      <c r="BO1" s="599"/>
      <c r="BP1" s="598"/>
      <c r="BQ1" s="599"/>
      <c r="BR1" s="598"/>
      <c r="BS1" s="599"/>
      <c r="BT1" s="598"/>
      <c r="BU1" s="599"/>
      <c r="BV1" s="598"/>
      <c r="BW1" s="599"/>
      <c r="BX1" s="598"/>
      <c r="BY1" s="599"/>
      <c r="BZ1" s="597"/>
      <c r="CA1" s="597"/>
      <c r="CB1" s="598"/>
      <c r="CC1" s="599"/>
      <c r="CD1" s="596"/>
      <c r="CE1" s="596"/>
      <c r="CF1" s="596"/>
      <c r="CG1" s="596"/>
      <c r="CH1" s="596"/>
      <c r="CI1" s="599"/>
      <c r="CJ1" s="596"/>
      <c r="CK1" s="599"/>
      <c r="CL1" s="596"/>
      <c r="CM1" s="596"/>
      <c r="CN1" s="596"/>
      <c r="CO1" s="595"/>
      <c r="CP1" s="595"/>
      <c r="CQ1" s="598"/>
      <c r="CR1" s="599"/>
      <c r="CS1" s="598"/>
      <c r="CT1" s="599"/>
      <c r="CU1" s="598"/>
      <c r="CV1" s="599"/>
      <c r="CW1" s="598"/>
      <c r="CX1" s="599"/>
      <c r="CY1" s="598"/>
      <c r="CZ1" s="599"/>
      <c r="DA1" s="598"/>
      <c r="DB1" s="599"/>
      <c r="DC1" s="598"/>
      <c r="DD1" s="599"/>
      <c r="DE1" s="598"/>
      <c r="DF1" s="599"/>
      <c r="DG1" s="598"/>
      <c r="DH1" s="599"/>
      <c r="DI1" s="598"/>
      <c r="DJ1" s="599"/>
      <c r="DK1" s="598"/>
      <c r="DL1" s="599"/>
      <c r="DM1" s="598"/>
      <c r="DN1" s="599"/>
      <c r="DO1" s="598"/>
      <c r="DP1" s="599"/>
      <c r="DQ1" s="598"/>
      <c r="DR1" s="599"/>
      <c r="DS1" s="598"/>
      <c r="DT1" s="599"/>
      <c r="DU1" s="598"/>
      <c r="DV1" s="599"/>
      <c r="DW1" s="598"/>
      <c r="DX1" s="599"/>
      <c r="DY1" s="598"/>
      <c r="DZ1" s="599"/>
      <c r="EA1" s="598"/>
      <c r="EB1" s="599"/>
      <c r="EC1" s="598"/>
      <c r="ED1" s="599"/>
      <c r="EE1" s="597"/>
      <c r="EF1" s="597"/>
      <c r="EG1" s="598"/>
      <c r="EH1" s="599"/>
      <c r="EI1" s="596"/>
      <c r="EJ1" s="596"/>
      <c r="EK1" s="596"/>
      <c r="EL1" s="596"/>
      <c r="EM1" s="596"/>
      <c r="EN1" s="599"/>
      <c r="EO1" s="596"/>
      <c r="EP1" s="599"/>
      <c r="EQ1" s="596"/>
      <c r="ER1" s="596"/>
      <c r="ES1" s="596"/>
      <c r="ET1" s="595"/>
      <c r="EU1" s="595"/>
      <c r="EV1" s="598"/>
      <c r="EW1" s="599"/>
      <c r="EX1" s="598"/>
      <c r="EY1" s="599"/>
      <c r="EZ1" s="598"/>
      <c r="FA1" s="599"/>
      <c r="FB1" s="598"/>
      <c r="FC1" s="599"/>
      <c r="FD1" s="598"/>
      <c r="FE1" s="599"/>
      <c r="FF1" s="598"/>
      <c r="FG1" s="599"/>
      <c r="FH1" s="598"/>
      <c r="FI1" s="599"/>
      <c r="FJ1" s="598"/>
      <c r="FK1" s="599"/>
      <c r="FL1" s="598"/>
      <c r="FM1" s="599"/>
      <c r="FN1" s="598"/>
      <c r="FO1" s="599"/>
      <c r="FP1" s="598"/>
      <c r="FQ1" s="599"/>
      <c r="FR1" s="598"/>
      <c r="FS1" s="599"/>
      <c r="FT1" s="598"/>
      <c r="FU1" s="599"/>
      <c r="FV1" s="598"/>
      <c r="FW1" s="599"/>
      <c r="FX1" s="598"/>
      <c r="FY1" s="599"/>
      <c r="FZ1" s="598"/>
      <c r="GA1" s="599"/>
      <c r="GB1" s="598"/>
      <c r="GC1" s="599"/>
      <c r="GD1" s="598"/>
      <c r="GE1" s="599"/>
      <c r="GF1" s="598"/>
      <c r="GG1" s="599"/>
      <c r="GH1" s="598"/>
      <c r="GI1" s="599"/>
      <c r="GJ1" s="597"/>
      <c r="GK1" s="597"/>
      <c r="GL1" s="598"/>
      <c r="GM1" s="599"/>
      <c r="GN1" s="596"/>
      <c r="GO1" s="596"/>
      <c r="GP1" s="596"/>
      <c r="GQ1" s="596"/>
      <c r="GR1" s="596"/>
      <c r="GS1" s="599"/>
      <c r="GT1" s="596"/>
      <c r="GU1" s="599"/>
      <c r="GV1" s="596"/>
      <c r="GW1" s="596"/>
      <c r="GX1" s="596"/>
      <c r="GY1" s="595"/>
      <c r="GZ1" s="595"/>
      <c r="HA1" s="598"/>
      <c r="HB1" s="599"/>
      <c r="HC1" s="598"/>
      <c r="HD1" s="599"/>
      <c r="HE1" s="598"/>
      <c r="HF1" s="599"/>
      <c r="HG1" s="598"/>
      <c r="HH1" s="599"/>
      <c r="HI1" s="598"/>
      <c r="HJ1" s="599"/>
    </row>
    <row r="2" spans="1:218" ht="15" customHeight="1" x14ac:dyDescent="0.2">
      <c r="A2" s="595"/>
      <c r="B2" s="596"/>
      <c r="C2" s="596"/>
      <c r="D2" s="596"/>
      <c r="E2" s="596"/>
      <c r="F2" s="597"/>
      <c r="G2" s="598"/>
      <c r="H2" s="596"/>
      <c r="I2" s="596"/>
      <c r="J2" s="596"/>
      <c r="K2" s="598"/>
      <c r="L2" s="598"/>
      <c r="M2" s="598"/>
      <c r="N2" s="598"/>
      <c r="O2" s="598"/>
      <c r="P2" s="598"/>
      <c r="Q2" s="598"/>
      <c r="R2" s="598"/>
      <c r="S2" s="598"/>
      <c r="T2" s="598"/>
      <c r="U2" s="598"/>
      <c r="V2" s="598"/>
      <c r="W2" s="598"/>
      <c r="X2" s="598"/>
      <c r="Y2" s="598"/>
      <c r="Z2" s="598"/>
      <c r="AA2" s="598"/>
      <c r="AB2" s="598"/>
      <c r="AC2" s="598"/>
      <c r="AD2" s="598"/>
      <c r="AE2" s="598"/>
      <c r="AF2" s="598"/>
      <c r="AG2" s="598"/>
      <c r="AH2" s="598"/>
      <c r="AI2" s="598"/>
      <c r="AJ2" s="598"/>
      <c r="AK2" s="598"/>
      <c r="AL2" s="598"/>
      <c r="AM2" s="598"/>
      <c r="AN2" s="598"/>
      <c r="AO2" s="598"/>
      <c r="AP2" s="598"/>
      <c r="AQ2" s="598"/>
      <c r="AR2" s="598"/>
      <c r="AS2" s="599"/>
      <c r="AT2" s="598"/>
      <c r="AU2" s="599"/>
      <c r="AV2" s="598"/>
      <c r="AW2" s="599"/>
      <c r="AX2" s="598"/>
      <c r="AY2" s="599"/>
      <c r="AZ2" s="598"/>
      <c r="BA2" s="599"/>
      <c r="BB2" s="598"/>
      <c r="BC2" s="599"/>
      <c r="BD2" s="598"/>
      <c r="BE2" s="599"/>
      <c r="BF2" s="598"/>
      <c r="BG2" s="599"/>
      <c r="BH2" s="598"/>
      <c r="BI2" s="599"/>
      <c r="BJ2" s="598"/>
      <c r="BK2" s="599"/>
      <c r="BL2" s="598"/>
      <c r="BM2" s="599"/>
      <c r="BN2" s="598"/>
      <c r="BO2" s="599"/>
      <c r="BP2" s="598"/>
      <c r="BQ2" s="599"/>
      <c r="BR2" s="598"/>
      <c r="BS2" s="599"/>
      <c r="BT2" s="598"/>
      <c r="BU2" s="599"/>
      <c r="BV2" s="598"/>
      <c r="BW2" s="599"/>
      <c r="BX2" s="598"/>
      <c r="BY2" s="599"/>
      <c r="BZ2" s="597"/>
      <c r="CA2" s="597"/>
      <c r="CB2" s="598"/>
      <c r="CC2" s="599"/>
      <c r="CD2" s="596"/>
      <c r="CE2" s="596"/>
      <c r="CF2" s="596"/>
      <c r="CG2" s="596"/>
      <c r="CH2" s="596"/>
      <c r="CI2" s="599"/>
      <c r="CJ2" s="596"/>
      <c r="CK2" s="599"/>
      <c r="CL2" s="596"/>
      <c r="CM2" s="596"/>
      <c r="CN2" s="596"/>
      <c r="CO2" s="595"/>
      <c r="CP2" s="595"/>
      <c r="CQ2" s="598"/>
      <c r="CR2" s="599"/>
      <c r="CS2" s="598"/>
      <c r="CT2" s="599"/>
      <c r="CU2" s="598"/>
      <c r="CV2" s="599"/>
      <c r="CW2" s="598"/>
      <c r="CX2" s="599"/>
      <c r="CY2" s="598"/>
      <c r="CZ2" s="599"/>
      <c r="DA2" s="598"/>
      <c r="DB2" s="599"/>
      <c r="DC2" s="598"/>
      <c r="DD2" s="599"/>
      <c r="DE2" s="598"/>
      <c r="DF2" s="599"/>
      <c r="DG2" s="598"/>
      <c r="DH2" s="599"/>
      <c r="DI2" s="598"/>
      <c r="DJ2" s="599"/>
      <c r="DK2" s="598"/>
      <c r="DL2" s="599"/>
      <c r="DM2" s="598"/>
      <c r="DN2" s="599"/>
      <c r="DO2" s="598"/>
      <c r="DP2" s="599"/>
      <c r="DQ2" s="598"/>
      <c r="DR2" s="599"/>
      <c r="DS2" s="598"/>
      <c r="DT2" s="599"/>
      <c r="DU2" s="598"/>
      <c r="DV2" s="599"/>
      <c r="DW2" s="598"/>
      <c r="DX2" s="599"/>
      <c r="DY2" s="598"/>
      <c r="DZ2" s="599"/>
      <c r="EA2" s="598"/>
      <c r="EB2" s="599"/>
      <c r="EC2" s="598"/>
      <c r="ED2" s="599"/>
      <c r="EE2" s="597"/>
      <c r="EF2" s="597"/>
      <c r="EG2" s="598"/>
      <c r="EH2" s="599"/>
      <c r="EI2" s="596"/>
      <c r="EJ2" s="596"/>
      <c r="EK2" s="596"/>
      <c r="EL2" s="596"/>
      <c r="EM2" s="596"/>
      <c r="EN2" s="599"/>
      <c r="EO2" s="596"/>
      <c r="EP2" s="599"/>
      <c r="EQ2" s="596"/>
      <c r="ER2" s="596"/>
      <c r="ES2" s="596"/>
      <c r="ET2" s="595"/>
      <c r="EU2" s="595"/>
      <c r="EV2" s="598"/>
      <c r="EW2" s="599"/>
      <c r="EX2" s="598"/>
      <c r="EY2" s="599"/>
      <c r="EZ2" s="598"/>
      <c r="FA2" s="599"/>
      <c r="FB2" s="598"/>
      <c r="FC2" s="599"/>
      <c r="FD2" s="598"/>
      <c r="FE2" s="599"/>
      <c r="FF2" s="598"/>
      <c r="FG2" s="599"/>
      <c r="FH2" s="598"/>
      <c r="FI2" s="599"/>
      <c r="FJ2" s="598"/>
      <c r="FK2" s="599"/>
      <c r="FL2" s="598"/>
      <c r="FM2" s="599"/>
      <c r="FN2" s="598"/>
      <c r="FO2" s="599"/>
      <c r="FP2" s="598"/>
      <c r="FQ2" s="599"/>
      <c r="FR2" s="598"/>
      <c r="FS2" s="599"/>
      <c r="FT2" s="598"/>
      <c r="FU2" s="599"/>
      <c r="FV2" s="598"/>
      <c r="FW2" s="599"/>
      <c r="FX2" s="598"/>
      <c r="FY2" s="599"/>
      <c r="FZ2" s="598"/>
      <c r="GA2" s="599"/>
      <c r="GB2" s="598"/>
      <c r="GC2" s="599"/>
      <c r="GD2" s="598"/>
      <c r="GE2" s="599"/>
      <c r="GF2" s="598"/>
      <c r="GG2" s="599"/>
      <c r="GH2" s="598"/>
      <c r="GI2" s="599"/>
      <c r="GJ2" s="597"/>
      <c r="GK2" s="597"/>
      <c r="GL2" s="598"/>
      <c r="GM2" s="599"/>
      <c r="GN2" s="596"/>
      <c r="GO2" s="596"/>
      <c r="GP2" s="596"/>
      <c r="GQ2" s="596"/>
      <c r="GR2" s="596"/>
      <c r="GS2" s="599"/>
      <c r="GT2" s="596"/>
      <c r="GU2" s="599"/>
      <c r="GV2" s="596"/>
      <c r="GW2" s="596"/>
      <c r="GX2" s="596"/>
      <c r="GY2" s="595"/>
      <c r="GZ2" s="595"/>
      <c r="HA2" s="598"/>
      <c r="HB2" s="599"/>
      <c r="HC2" s="598"/>
      <c r="HD2" s="599"/>
      <c r="HE2" s="598"/>
      <c r="HF2" s="599"/>
      <c r="HG2" s="598"/>
      <c r="HH2" s="599"/>
      <c r="HI2" s="598"/>
      <c r="HJ2" s="599"/>
    </row>
    <row r="3" spans="1:218" ht="15" customHeight="1" x14ac:dyDescent="0.2">
      <c r="A3" s="595"/>
      <c r="B3" s="596"/>
      <c r="C3" s="596"/>
      <c r="D3" s="596"/>
      <c r="E3" s="596"/>
      <c r="F3" s="597"/>
      <c r="G3" s="598"/>
      <c r="H3" s="596"/>
      <c r="I3" s="596"/>
      <c r="J3" s="596"/>
      <c r="K3" s="598"/>
      <c r="L3" s="598"/>
      <c r="M3" s="598"/>
      <c r="N3" s="598"/>
      <c r="O3" s="598"/>
      <c r="P3" s="598"/>
      <c r="Q3" s="598"/>
      <c r="R3" s="598"/>
      <c r="S3" s="598"/>
      <c r="T3" s="598"/>
      <c r="U3" s="598"/>
      <c r="V3" s="598"/>
      <c r="W3" s="598"/>
      <c r="X3" s="598"/>
      <c r="Y3" s="598"/>
      <c r="Z3" s="598"/>
      <c r="AA3" s="598"/>
      <c r="AB3" s="598"/>
      <c r="AC3" s="598"/>
      <c r="AD3" s="598"/>
      <c r="AE3" s="598"/>
      <c r="AF3" s="598"/>
      <c r="AG3" s="598"/>
      <c r="AH3" s="598"/>
      <c r="AI3" s="598"/>
      <c r="AJ3" s="598"/>
      <c r="AK3" s="598"/>
      <c r="AL3" s="598"/>
      <c r="AM3" s="598"/>
      <c r="AN3" s="598"/>
      <c r="AO3" s="598"/>
      <c r="AP3" s="598"/>
      <c r="AQ3" s="598"/>
      <c r="AR3" s="598"/>
      <c r="AS3" s="599"/>
      <c r="AT3" s="598"/>
      <c r="AU3" s="599"/>
      <c r="AV3" s="598"/>
      <c r="AW3" s="599"/>
      <c r="AX3" s="598"/>
      <c r="AY3" s="599"/>
      <c r="AZ3" s="598"/>
      <c r="BA3" s="599"/>
      <c r="BB3" s="598"/>
      <c r="BC3" s="599"/>
      <c r="BD3" s="598"/>
      <c r="BE3" s="599"/>
      <c r="BF3" s="598"/>
      <c r="BG3" s="599"/>
      <c r="BH3" s="598"/>
      <c r="BI3" s="599"/>
      <c r="BJ3" s="598"/>
      <c r="BK3" s="599"/>
      <c r="BL3" s="598"/>
      <c r="BM3" s="599"/>
      <c r="BN3" s="598"/>
      <c r="BO3" s="599"/>
      <c r="BP3" s="598"/>
      <c r="BQ3" s="599"/>
      <c r="BR3" s="598"/>
      <c r="BS3" s="599"/>
      <c r="BT3" s="598"/>
      <c r="BU3" s="599"/>
      <c r="BV3" s="598"/>
      <c r="BW3" s="599"/>
      <c r="BX3" s="598"/>
      <c r="BY3" s="599"/>
      <c r="BZ3" s="597"/>
      <c r="CA3" s="597"/>
      <c r="CB3" s="598"/>
      <c r="CC3" s="599"/>
      <c r="CD3" s="596"/>
      <c r="CE3" s="596"/>
      <c r="CF3" s="596"/>
      <c r="CG3" s="596"/>
      <c r="CH3" s="596"/>
      <c r="CI3" s="599"/>
      <c r="CJ3" s="596"/>
      <c r="CK3" s="599"/>
      <c r="CL3" s="596"/>
      <c r="CM3" s="596"/>
      <c r="CN3" s="596"/>
      <c r="CO3" s="595"/>
      <c r="CP3" s="595"/>
      <c r="CQ3" s="598"/>
      <c r="CR3" s="599"/>
      <c r="CS3" s="598"/>
      <c r="CT3" s="599"/>
      <c r="CU3" s="598"/>
      <c r="CV3" s="599"/>
      <c r="CW3" s="598"/>
      <c r="CX3" s="599"/>
      <c r="CY3" s="598"/>
      <c r="CZ3" s="599"/>
      <c r="DA3" s="598"/>
      <c r="DB3" s="599"/>
      <c r="DC3" s="598"/>
      <c r="DD3" s="599"/>
      <c r="DE3" s="598"/>
      <c r="DF3" s="599"/>
      <c r="DG3" s="598"/>
      <c r="DH3" s="599"/>
      <c r="DI3" s="598"/>
      <c r="DJ3" s="599"/>
      <c r="DK3" s="598"/>
      <c r="DL3" s="599"/>
      <c r="DM3" s="598"/>
      <c r="DN3" s="599"/>
      <c r="DO3" s="598"/>
      <c r="DP3" s="599"/>
      <c r="DQ3" s="598"/>
      <c r="DR3" s="599"/>
      <c r="DS3" s="598"/>
      <c r="DT3" s="599"/>
      <c r="DU3" s="598"/>
      <c r="DV3" s="599"/>
      <c r="DW3" s="598"/>
      <c r="DX3" s="599"/>
      <c r="DY3" s="598"/>
      <c r="DZ3" s="599"/>
      <c r="EA3" s="598"/>
      <c r="EB3" s="599"/>
      <c r="EC3" s="598"/>
      <c r="ED3" s="599"/>
      <c r="EE3" s="597"/>
      <c r="EF3" s="597"/>
      <c r="EG3" s="598"/>
      <c r="EH3" s="599"/>
      <c r="EI3" s="596"/>
      <c r="EJ3" s="596"/>
      <c r="EK3" s="596"/>
      <c r="EL3" s="596"/>
      <c r="EM3" s="596"/>
      <c r="EN3" s="599"/>
      <c r="EO3" s="596"/>
      <c r="EP3" s="599"/>
      <c r="EQ3" s="596"/>
      <c r="ER3" s="596"/>
      <c r="ES3" s="596"/>
      <c r="ET3" s="595"/>
      <c r="EU3" s="595"/>
      <c r="EV3" s="598"/>
      <c r="EW3" s="599"/>
      <c r="EX3" s="598"/>
      <c r="EY3" s="599"/>
      <c r="EZ3" s="598"/>
      <c r="FA3" s="599"/>
      <c r="FB3" s="598"/>
      <c r="FC3" s="599"/>
      <c r="FD3" s="598"/>
      <c r="FE3" s="599"/>
      <c r="FF3" s="598"/>
      <c r="FG3" s="599"/>
      <c r="FH3" s="598"/>
      <c r="FI3" s="599"/>
      <c r="FJ3" s="598"/>
      <c r="FK3" s="599"/>
      <c r="FL3" s="598"/>
      <c r="FM3" s="599"/>
      <c r="FN3" s="598"/>
      <c r="FO3" s="599"/>
      <c r="FP3" s="598"/>
      <c r="FQ3" s="599"/>
      <c r="FR3" s="598"/>
      <c r="FS3" s="599"/>
      <c r="FT3" s="598"/>
      <c r="FU3" s="599"/>
      <c r="FV3" s="598"/>
      <c r="FW3" s="599"/>
      <c r="FX3" s="598"/>
      <c r="FY3" s="599"/>
      <c r="FZ3" s="598"/>
      <c r="GA3" s="599"/>
      <c r="GB3" s="598"/>
      <c r="GC3" s="599"/>
      <c r="GD3" s="598"/>
      <c r="GE3" s="599"/>
      <c r="GF3" s="598"/>
      <c r="GG3" s="599"/>
      <c r="GH3" s="598"/>
      <c r="GI3" s="599"/>
      <c r="GJ3" s="597"/>
      <c r="GK3" s="597"/>
      <c r="GL3" s="598"/>
      <c r="GM3" s="599"/>
      <c r="GN3" s="596"/>
      <c r="GO3" s="596"/>
      <c r="GP3" s="596"/>
      <c r="GQ3" s="596"/>
      <c r="GR3" s="596"/>
      <c r="GS3" s="599"/>
      <c r="GT3" s="596"/>
      <c r="GU3" s="599"/>
      <c r="GV3" s="596"/>
      <c r="GW3" s="596"/>
      <c r="GX3" s="596"/>
      <c r="GY3" s="595"/>
      <c r="GZ3" s="595"/>
      <c r="HA3" s="598"/>
      <c r="HB3" s="599"/>
      <c r="HC3" s="598"/>
      <c r="HD3" s="599"/>
      <c r="HE3" s="598"/>
      <c r="HF3" s="599"/>
      <c r="HG3" s="598"/>
      <c r="HH3" s="599"/>
      <c r="HI3" s="598"/>
      <c r="HJ3" s="599"/>
    </row>
    <row r="4" spans="1:218" ht="15" customHeight="1" x14ac:dyDescent="0.2">
      <c r="A4" s="601"/>
      <c r="B4" s="602"/>
      <c r="C4" s="602"/>
      <c r="D4" s="602"/>
      <c r="E4" s="602"/>
      <c r="F4" s="603"/>
      <c r="G4" s="604"/>
      <c r="H4" s="602"/>
      <c r="I4" s="602"/>
      <c r="J4" s="602"/>
      <c r="K4" s="604"/>
      <c r="L4" s="604"/>
      <c r="M4" s="604"/>
      <c r="N4" s="604"/>
      <c r="O4" s="604"/>
      <c r="P4" s="604"/>
      <c r="Q4" s="604"/>
      <c r="R4" s="604"/>
      <c r="S4" s="604"/>
      <c r="T4" s="604"/>
      <c r="U4" s="604"/>
      <c r="V4" s="604"/>
      <c r="W4" s="604"/>
      <c r="X4" s="604"/>
      <c r="Y4" s="604"/>
      <c r="Z4" s="604"/>
      <c r="AA4" s="604"/>
      <c r="AB4" s="604"/>
      <c r="AC4" s="604"/>
      <c r="AD4" s="604"/>
      <c r="AE4" s="604"/>
      <c r="AF4" s="604"/>
      <c r="AG4" s="604"/>
      <c r="AH4" s="605"/>
      <c r="AI4" s="605"/>
      <c r="AJ4" s="605"/>
      <c r="AK4" s="150"/>
      <c r="AL4" s="150"/>
      <c r="AM4" s="150"/>
      <c r="AN4" s="150"/>
      <c r="AO4" s="150"/>
      <c r="AP4" s="150"/>
      <c r="AQ4" s="150"/>
      <c r="AR4" s="150"/>
    </row>
    <row r="5" spans="1:218" s="624" customFormat="1" ht="15" customHeight="1" thickBot="1" x14ac:dyDescent="0.25">
      <c r="A5" s="708" t="s">
        <v>654</v>
      </c>
      <c r="B5" s="625"/>
      <c r="C5" s="626"/>
      <c r="D5" s="626"/>
      <c r="E5" s="626"/>
      <c r="F5" s="626"/>
      <c r="G5" s="626"/>
      <c r="H5" s="626"/>
      <c r="I5" s="626"/>
      <c r="J5" s="626"/>
    </row>
    <row r="6" spans="1:218" s="616" customFormat="1" ht="15" customHeight="1" thickTop="1" x14ac:dyDescent="0.2">
      <c r="A6" s="607"/>
      <c r="B6" s="607"/>
      <c r="C6" s="607"/>
      <c r="D6" s="607"/>
      <c r="E6" s="607"/>
      <c r="F6" s="379"/>
      <c r="G6" s="379"/>
      <c r="H6" s="400"/>
      <c r="I6" s="400"/>
      <c r="J6" s="400" t="s">
        <v>662</v>
      </c>
    </row>
    <row r="7" spans="1:218" s="628" customFormat="1" ht="15" customHeight="1" x14ac:dyDescent="0.2">
      <c r="A7" s="627"/>
      <c r="B7" s="691" t="s">
        <v>339</v>
      </c>
      <c r="C7" s="691" t="s">
        <v>53</v>
      </c>
      <c r="D7" s="691" t="s">
        <v>54</v>
      </c>
      <c r="E7" s="691" t="s">
        <v>330</v>
      </c>
      <c r="F7" s="691" t="s">
        <v>340</v>
      </c>
      <c r="G7" s="691" t="s">
        <v>71</v>
      </c>
      <c r="H7" s="691" t="s">
        <v>374</v>
      </c>
      <c r="I7" s="691" t="s">
        <v>376</v>
      </c>
      <c r="J7" s="691" t="s">
        <v>399</v>
      </c>
    </row>
    <row r="8" spans="1:218" s="605" customFormat="1" ht="15" customHeight="1" x14ac:dyDescent="0.2">
      <c r="A8" s="184" t="s">
        <v>262</v>
      </c>
      <c r="B8" s="613"/>
      <c r="C8" s="613"/>
      <c r="D8" s="613"/>
      <c r="E8" s="613"/>
      <c r="F8" s="613"/>
      <c r="G8" s="613"/>
      <c r="H8" s="613"/>
      <c r="I8" s="613"/>
      <c r="J8" s="613"/>
    </row>
    <row r="9" spans="1:218" s="616" customFormat="1" ht="5.0999999999999996" customHeight="1" x14ac:dyDescent="0.2">
      <c r="A9" s="614"/>
      <c r="B9" s="614"/>
      <c r="C9" s="614"/>
      <c r="D9" s="614"/>
      <c r="E9" s="614"/>
      <c r="F9" s="614"/>
      <c r="G9" s="614"/>
      <c r="H9" s="614"/>
      <c r="I9" s="614"/>
      <c r="J9" s="614"/>
    </row>
    <row r="10" spans="1:218" s="616" customFormat="1" ht="15" customHeight="1" x14ac:dyDescent="0.2">
      <c r="A10" s="173" t="s">
        <v>263</v>
      </c>
      <c r="B10" s="376">
        <f t="shared" ref="B10:J10" si="0">B11+B17+B21+B25+B28+B30+B33+B38+B40+B41+B42</f>
        <v>929083</v>
      </c>
      <c r="C10" s="376">
        <f t="shared" si="0"/>
        <v>929734</v>
      </c>
      <c r="D10" s="376">
        <f t="shared" si="0"/>
        <v>944539</v>
      </c>
      <c r="E10" s="376">
        <f t="shared" si="0"/>
        <v>1086396</v>
      </c>
      <c r="F10" s="376">
        <f t="shared" si="0"/>
        <v>1078238</v>
      </c>
      <c r="G10" s="376">
        <f t="shared" si="0"/>
        <v>1083911</v>
      </c>
      <c r="H10" s="376">
        <f t="shared" si="0"/>
        <v>1081415</v>
      </c>
      <c r="I10" s="376">
        <f t="shared" si="0"/>
        <v>1105436</v>
      </c>
      <c r="J10" s="465">
        <f t="shared" si="0"/>
        <v>1099842</v>
      </c>
    </row>
    <row r="11" spans="1:218" s="616" customFormat="1" ht="15" customHeight="1" x14ac:dyDescent="0.2">
      <c r="A11" s="173" t="s">
        <v>264</v>
      </c>
      <c r="B11" s="376">
        <f t="shared" ref="B11:E11" si="1">SUM(B12:B16)</f>
        <v>195784</v>
      </c>
      <c r="C11" s="376">
        <f t="shared" si="1"/>
        <v>189211</v>
      </c>
      <c r="D11" s="376">
        <f t="shared" si="1"/>
        <v>179458</v>
      </c>
      <c r="E11" s="376">
        <f t="shared" si="1"/>
        <v>239955</v>
      </c>
      <c r="F11" s="376">
        <f>SUM(F12:F16)</f>
        <v>234236</v>
      </c>
      <c r="G11" s="376">
        <f>SUM(G12:G16)</f>
        <v>235456</v>
      </c>
      <c r="H11" s="376">
        <f>SUM(H12:H16)</f>
        <v>260199</v>
      </c>
      <c r="I11" s="376">
        <f>SUM(I12:I16)</f>
        <v>259590</v>
      </c>
      <c r="J11" s="465">
        <f>SUM(J12:J16)</f>
        <v>265208</v>
      </c>
    </row>
    <row r="12" spans="1:218" s="616" customFormat="1" ht="15" customHeight="1" x14ac:dyDescent="0.2">
      <c r="A12" s="139" t="s">
        <v>265</v>
      </c>
      <c r="B12" s="373">
        <v>23820</v>
      </c>
      <c r="C12" s="373">
        <v>22591</v>
      </c>
      <c r="D12" s="373">
        <v>23222</v>
      </c>
      <c r="E12" s="373">
        <v>32679</v>
      </c>
      <c r="F12" s="373">
        <v>33420</v>
      </c>
      <c r="G12" s="373">
        <v>30565</v>
      </c>
      <c r="H12" s="373">
        <v>30608</v>
      </c>
      <c r="I12" s="373">
        <v>30326</v>
      </c>
      <c r="J12" s="374">
        <v>34089</v>
      </c>
    </row>
    <row r="13" spans="1:218" s="616" customFormat="1" ht="15" customHeight="1" x14ac:dyDescent="0.2">
      <c r="A13" s="139" t="s">
        <v>266</v>
      </c>
      <c r="B13" s="373">
        <v>91879</v>
      </c>
      <c r="C13" s="373">
        <v>88261</v>
      </c>
      <c r="D13" s="373">
        <v>87209</v>
      </c>
      <c r="E13" s="373">
        <v>93289</v>
      </c>
      <c r="F13" s="373">
        <v>97089</v>
      </c>
      <c r="G13" s="373">
        <v>94353</v>
      </c>
      <c r="H13" s="373">
        <v>95737</v>
      </c>
      <c r="I13" s="373">
        <v>98224</v>
      </c>
      <c r="J13" s="374">
        <v>103333</v>
      </c>
    </row>
    <row r="14" spans="1:218" s="616" customFormat="1" ht="15" customHeight="1" x14ac:dyDescent="0.2">
      <c r="A14" s="139" t="s">
        <v>267</v>
      </c>
      <c r="B14" s="373">
        <v>466</v>
      </c>
      <c r="C14" s="373">
        <v>587</v>
      </c>
      <c r="D14" s="373">
        <v>511</v>
      </c>
      <c r="E14" s="373">
        <v>756</v>
      </c>
      <c r="F14" s="373">
        <v>589</v>
      </c>
      <c r="G14" s="373">
        <v>571</v>
      </c>
      <c r="H14" s="373">
        <v>530</v>
      </c>
      <c r="I14" s="373">
        <f>1512+48</f>
        <v>1560</v>
      </c>
      <c r="J14" s="374">
        <v>2169</v>
      </c>
    </row>
    <row r="15" spans="1:218" s="616" customFormat="1" ht="15" customHeight="1" x14ac:dyDescent="0.2">
      <c r="A15" s="139" t="s">
        <v>268</v>
      </c>
      <c r="B15" s="373">
        <v>79619</v>
      </c>
      <c r="C15" s="373">
        <v>77772</v>
      </c>
      <c r="D15" s="373">
        <v>68516</v>
      </c>
      <c r="E15" s="373">
        <v>113231</v>
      </c>
      <c r="F15" s="373">
        <v>103138</v>
      </c>
      <c r="G15" s="373">
        <v>109967</v>
      </c>
      <c r="H15" s="373">
        <v>133324</v>
      </c>
      <c r="I15" s="373">
        <f>26907+102573</f>
        <v>129480</v>
      </c>
      <c r="J15" s="374">
        <v>125617</v>
      </c>
    </row>
    <row r="16" spans="1:218" s="616" customFormat="1" ht="15" customHeight="1" x14ac:dyDescent="0.2">
      <c r="A16" s="139" t="s">
        <v>269</v>
      </c>
      <c r="B16" s="373">
        <v>0</v>
      </c>
      <c r="C16" s="373">
        <v>0</v>
      </c>
      <c r="D16" s="373">
        <v>0</v>
      </c>
      <c r="E16" s="373">
        <v>0</v>
      </c>
      <c r="F16" s="373">
        <v>0</v>
      </c>
      <c r="G16" s="373">
        <v>0</v>
      </c>
      <c r="H16" s="373">
        <v>0</v>
      </c>
      <c r="I16" s="373">
        <v>0</v>
      </c>
      <c r="J16" s="374">
        <v>0</v>
      </c>
    </row>
    <row r="17" spans="1:11" s="616" customFormat="1" ht="15" customHeight="1" x14ac:dyDescent="0.2">
      <c r="A17" s="173" t="s">
        <v>587</v>
      </c>
      <c r="B17" s="376">
        <f t="shared" ref="B17:E17" si="2">SUM(B18:B20)</f>
        <v>222278</v>
      </c>
      <c r="C17" s="376">
        <f t="shared" si="2"/>
        <v>224065</v>
      </c>
      <c r="D17" s="376">
        <f t="shared" si="2"/>
        <v>226253</v>
      </c>
      <c r="E17" s="376">
        <f t="shared" si="2"/>
        <v>241666</v>
      </c>
      <c r="F17" s="376">
        <f>SUM(F18:F20)</f>
        <v>241979</v>
      </c>
      <c r="G17" s="376">
        <f>SUM(G18:G20)</f>
        <v>254780</v>
      </c>
      <c r="H17" s="376">
        <f>SUM(H18:H20)</f>
        <v>236544</v>
      </c>
      <c r="I17" s="376">
        <f>SUM(I18:I20)</f>
        <v>246582</v>
      </c>
      <c r="J17" s="465">
        <f>SUM(J18:J20)</f>
        <v>233468</v>
      </c>
    </row>
    <row r="18" spans="1:11" s="616" customFormat="1" ht="15" customHeight="1" x14ac:dyDescent="0.2">
      <c r="A18" s="139" t="s">
        <v>213</v>
      </c>
      <c r="B18" s="373">
        <v>107518</v>
      </c>
      <c r="C18" s="373">
        <v>108139</v>
      </c>
      <c r="D18" s="373">
        <v>118747</v>
      </c>
      <c r="E18" s="373">
        <v>113973</v>
      </c>
      <c r="F18" s="373">
        <v>146920</v>
      </c>
      <c r="G18" s="373">
        <v>100382</v>
      </c>
      <c r="H18" s="373">
        <v>100900</v>
      </c>
      <c r="I18" s="373">
        <f>96612+11316</f>
        <v>107928</v>
      </c>
      <c r="J18" s="374">
        <v>101000</v>
      </c>
    </row>
    <row r="19" spans="1:11" s="616" customFormat="1" ht="15" customHeight="1" x14ac:dyDescent="0.2">
      <c r="A19" s="139" t="s">
        <v>271</v>
      </c>
      <c r="B19" s="373">
        <v>109877</v>
      </c>
      <c r="C19" s="373">
        <v>114956</v>
      </c>
      <c r="D19" s="373">
        <v>102856</v>
      </c>
      <c r="E19" s="373">
        <v>118340</v>
      </c>
      <c r="F19" s="373">
        <v>86118</v>
      </c>
      <c r="G19" s="373">
        <v>145111</v>
      </c>
      <c r="H19" s="373">
        <v>124405</v>
      </c>
      <c r="I19" s="373">
        <v>128585</v>
      </c>
      <c r="J19" s="374">
        <v>123754</v>
      </c>
    </row>
    <row r="20" spans="1:11" s="616" customFormat="1" ht="15" customHeight="1" x14ac:dyDescent="0.2">
      <c r="A20" s="172" t="s">
        <v>272</v>
      </c>
      <c r="B20" s="547">
        <v>4883</v>
      </c>
      <c r="C20" s="547">
        <v>970</v>
      </c>
      <c r="D20" s="547">
        <v>4650</v>
      </c>
      <c r="E20" s="547">
        <v>9353</v>
      </c>
      <c r="F20" s="547">
        <v>8941</v>
      </c>
      <c r="G20" s="547">
        <v>9287</v>
      </c>
      <c r="H20" s="547">
        <v>11239</v>
      </c>
      <c r="I20" s="547">
        <v>10069</v>
      </c>
      <c r="J20" s="464">
        <v>8714</v>
      </c>
    </row>
    <row r="21" spans="1:11" s="616" customFormat="1" ht="15" customHeight="1" x14ac:dyDescent="0.2">
      <c r="A21" s="173" t="s">
        <v>273</v>
      </c>
      <c r="B21" s="376">
        <f t="shared" ref="B21:J21" si="3">SUM(B22:B24)</f>
        <v>109546</v>
      </c>
      <c r="C21" s="376">
        <f t="shared" si="3"/>
        <v>112617</v>
      </c>
      <c r="D21" s="376">
        <f t="shared" si="3"/>
        <v>112818</v>
      </c>
      <c r="E21" s="376">
        <f t="shared" si="3"/>
        <v>153976</v>
      </c>
      <c r="F21" s="376">
        <f t="shared" si="3"/>
        <v>150807</v>
      </c>
      <c r="G21" s="376">
        <f t="shared" si="3"/>
        <v>140302</v>
      </c>
      <c r="H21" s="376">
        <f t="shared" si="3"/>
        <v>129004</v>
      </c>
      <c r="I21" s="376">
        <f t="shared" si="3"/>
        <v>134833</v>
      </c>
      <c r="J21" s="377">
        <f t="shared" si="3"/>
        <v>135011</v>
      </c>
    </row>
    <row r="22" spans="1:11" s="616" customFormat="1" ht="15" customHeight="1" x14ac:dyDescent="0.2">
      <c r="A22" s="139" t="s">
        <v>275</v>
      </c>
      <c r="B22" s="373">
        <v>99557</v>
      </c>
      <c r="C22" s="373">
        <v>103190</v>
      </c>
      <c r="D22" s="373">
        <v>106083</v>
      </c>
      <c r="E22" s="373">
        <v>147263</v>
      </c>
      <c r="F22" s="373">
        <v>144547</v>
      </c>
      <c r="G22" s="373">
        <v>136984</v>
      </c>
      <c r="H22" s="373">
        <v>125623</v>
      </c>
      <c r="I22" s="373">
        <f>79709+51938</f>
        <v>131647</v>
      </c>
      <c r="J22" s="464">
        <v>131565</v>
      </c>
    </row>
    <row r="23" spans="1:11" s="616" customFormat="1" ht="15" customHeight="1" x14ac:dyDescent="0.2">
      <c r="A23" s="595" t="s">
        <v>276</v>
      </c>
      <c r="B23" s="373">
        <v>9477</v>
      </c>
      <c r="C23" s="373">
        <v>8921</v>
      </c>
      <c r="D23" s="373">
        <v>6298</v>
      </c>
      <c r="E23" s="373">
        <v>6187</v>
      </c>
      <c r="F23" s="373">
        <v>5815</v>
      </c>
      <c r="G23" s="373">
        <v>2967</v>
      </c>
      <c r="H23" s="373">
        <v>2981</v>
      </c>
      <c r="I23" s="373">
        <f>750+2124</f>
        <v>2874</v>
      </c>
      <c r="J23" s="464">
        <v>3078</v>
      </c>
    </row>
    <row r="24" spans="1:11" s="616" customFormat="1" ht="15" customHeight="1" x14ac:dyDescent="0.2">
      <c r="A24" s="595" t="s">
        <v>277</v>
      </c>
      <c r="B24" s="373">
        <v>512</v>
      </c>
      <c r="C24" s="373">
        <v>506</v>
      </c>
      <c r="D24" s="373">
        <v>437</v>
      </c>
      <c r="E24" s="373">
        <v>526</v>
      </c>
      <c r="F24" s="373">
        <v>445</v>
      </c>
      <c r="G24" s="373">
        <v>351</v>
      </c>
      <c r="H24" s="373">
        <v>400</v>
      </c>
      <c r="I24" s="373">
        <f>162+150</f>
        <v>312</v>
      </c>
      <c r="J24" s="464">
        <v>368</v>
      </c>
    </row>
    <row r="25" spans="1:11" s="616" customFormat="1" ht="15" customHeight="1" x14ac:dyDescent="0.2">
      <c r="A25" s="145" t="s">
        <v>218</v>
      </c>
      <c r="B25" s="376">
        <f t="shared" ref="B25:J25" si="4">SUM(B26:B27)</f>
        <v>1223</v>
      </c>
      <c r="C25" s="376">
        <f t="shared" si="4"/>
        <v>966</v>
      </c>
      <c r="D25" s="376">
        <f t="shared" si="4"/>
        <v>1209</v>
      </c>
      <c r="E25" s="376">
        <f t="shared" si="4"/>
        <v>1251</v>
      </c>
      <c r="F25" s="376">
        <f t="shared" si="4"/>
        <v>1258</v>
      </c>
      <c r="G25" s="376">
        <f t="shared" si="4"/>
        <v>1307</v>
      </c>
      <c r="H25" s="376">
        <f t="shared" si="4"/>
        <v>1450</v>
      </c>
      <c r="I25" s="376">
        <f t="shared" si="4"/>
        <v>18358</v>
      </c>
      <c r="J25" s="377">
        <f t="shared" si="4"/>
        <v>20823</v>
      </c>
    </row>
    <row r="26" spans="1:11" s="616" customFormat="1" ht="15" customHeight="1" x14ac:dyDescent="0.2">
      <c r="A26" s="139" t="s">
        <v>385</v>
      </c>
      <c r="B26" s="547">
        <v>78</v>
      </c>
      <c r="C26" s="547">
        <v>0</v>
      </c>
      <c r="D26" s="547">
        <v>0</v>
      </c>
      <c r="E26" s="547">
        <v>0</v>
      </c>
      <c r="F26" s="547">
        <v>0</v>
      </c>
      <c r="G26" s="547">
        <v>0</v>
      </c>
      <c r="H26" s="547">
        <v>0</v>
      </c>
      <c r="I26" s="547">
        <v>17019</v>
      </c>
      <c r="J26" s="464">
        <v>19465</v>
      </c>
    </row>
    <row r="27" spans="1:11" s="616" customFormat="1" ht="15" customHeight="1" x14ac:dyDescent="0.2">
      <c r="A27" s="139" t="s">
        <v>225</v>
      </c>
      <c r="B27" s="373">
        <v>1145</v>
      </c>
      <c r="C27" s="373">
        <v>966</v>
      </c>
      <c r="D27" s="373">
        <v>1209</v>
      </c>
      <c r="E27" s="373">
        <v>1251</v>
      </c>
      <c r="F27" s="373">
        <v>1258</v>
      </c>
      <c r="G27" s="373">
        <v>1307</v>
      </c>
      <c r="H27" s="373">
        <v>1450</v>
      </c>
      <c r="I27" s="373">
        <v>1339</v>
      </c>
      <c r="J27" s="374">
        <v>1358</v>
      </c>
    </row>
    <row r="28" spans="1:11" s="616" customFormat="1" ht="15" customHeight="1" x14ac:dyDescent="0.2">
      <c r="A28" s="145" t="s">
        <v>226</v>
      </c>
      <c r="B28" s="376">
        <f t="shared" ref="B28:H28" si="5">SUM(B29:B29)</f>
        <v>5162</v>
      </c>
      <c r="C28" s="376">
        <f t="shared" si="5"/>
        <v>4215</v>
      </c>
      <c r="D28" s="376">
        <f t="shared" si="5"/>
        <v>3629</v>
      </c>
      <c r="E28" s="376">
        <f t="shared" si="5"/>
        <v>4370</v>
      </c>
      <c r="F28" s="376">
        <f t="shared" si="5"/>
        <v>5831</v>
      </c>
      <c r="G28" s="376">
        <f t="shared" si="5"/>
        <v>4448</v>
      </c>
      <c r="H28" s="376">
        <f t="shared" si="5"/>
        <v>4801</v>
      </c>
      <c r="I28" s="376">
        <f>SUM(I29:I29)</f>
        <v>4703</v>
      </c>
      <c r="J28" s="377">
        <f>SUM(J29:J29)</f>
        <v>5855</v>
      </c>
    </row>
    <row r="29" spans="1:11" s="616" customFormat="1" ht="15" customHeight="1" x14ac:dyDescent="0.2">
      <c r="A29" s="172" t="s">
        <v>278</v>
      </c>
      <c r="B29" s="373">
        <v>5162</v>
      </c>
      <c r="C29" s="373">
        <v>4215</v>
      </c>
      <c r="D29" s="373">
        <v>3629</v>
      </c>
      <c r="E29" s="373">
        <v>4370</v>
      </c>
      <c r="F29" s="373">
        <v>5831</v>
      </c>
      <c r="G29" s="373">
        <v>4448</v>
      </c>
      <c r="H29" s="373">
        <v>4801</v>
      </c>
      <c r="I29" s="373">
        <f>4699+4</f>
        <v>4703</v>
      </c>
      <c r="J29" s="374">
        <v>5855</v>
      </c>
      <c r="K29" s="618"/>
    </row>
    <row r="30" spans="1:11" s="616" customFormat="1" ht="15" customHeight="1" x14ac:dyDescent="0.2">
      <c r="A30" s="145" t="s">
        <v>279</v>
      </c>
      <c r="B30" s="376">
        <f>SUM(B31:B32)</f>
        <v>32132</v>
      </c>
      <c r="C30" s="376">
        <f t="shared" ref="C30:H30" si="6">SUM(C31:C32)</f>
        <v>27157</v>
      </c>
      <c r="D30" s="376">
        <f t="shared" si="6"/>
        <v>23781</v>
      </c>
      <c r="E30" s="376">
        <f t="shared" si="6"/>
        <v>25819</v>
      </c>
      <c r="F30" s="376">
        <f t="shared" si="6"/>
        <v>22165</v>
      </c>
      <c r="G30" s="376">
        <f t="shared" si="6"/>
        <v>22089</v>
      </c>
      <c r="H30" s="376">
        <f t="shared" si="6"/>
        <v>23434</v>
      </c>
      <c r="I30" s="376">
        <f>SUM(I31:I32)</f>
        <v>20606</v>
      </c>
      <c r="J30" s="465">
        <f>SUM(J31:J32)</f>
        <v>18522</v>
      </c>
    </row>
    <row r="31" spans="1:11" s="616" customFormat="1" ht="15" customHeight="1" x14ac:dyDescent="0.2">
      <c r="A31" s="139" t="s">
        <v>281</v>
      </c>
      <c r="B31" s="373">
        <v>16</v>
      </c>
      <c r="C31" s="373">
        <v>18</v>
      </c>
      <c r="D31" s="373">
        <v>20</v>
      </c>
      <c r="E31" s="373">
        <v>30</v>
      </c>
      <c r="F31" s="373">
        <v>7</v>
      </c>
      <c r="G31" s="373">
        <v>12</v>
      </c>
      <c r="H31" s="373">
        <v>5</v>
      </c>
      <c r="I31" s="373">
        <f>2+2</f>
        <v>4</v>
      </c>
      <c r="J31" s="374">
        <v>3</v>
      </c>
    </row>
    <row r="32" spans="1:11" s="616" customFormat="1" ht="15" customHeight="1" x14ac:dyDescent="0.2">
      <c r="A32" s="139" t="s">
        <v>282</v>
      </c>
      <c r="B32" s="373">
        <v>32116</v>
      </c>
      <c r="C32" s="373">
        <v>27139</v>
      </c>
      <c r="D32" s="373">
        <v>23761</v>
      </c>
      <c r="E32" s="373">
        <v>25789</v>
      </c>
      <c r="F32" s="373">
        <v>22158</v>
      </c>
      <c r="G32" s="373">
        <v>22077</v>
      </c>
      <c r="H32" s="373">
        <v>23429</v>
      </c>
      <c r="I32" s="373">
        <f>19333+1269</f>
        <v>20602</v>
      </c>
      <c r="J32" s="374">
        <v>18519</v>
      </c>
    </row>
    <row r="33" spans="1:10" s="616" customFormat="1" ht="15" customHeight="1" x14ac:dyDescent="0.2">
      <c r="A33" s="145" t="s">
        <v>283</v>
      </c>
      <c r="B33" s="376">
        <f t="shared" ref="B33:J33" si="7">SUM(B34:B37)</f>
        <v>38203</v>
      </c>
      <c r="C33" s="376">
        <f t="shared" si="7"/>
        <v>35691</v>
      </c>
      <c r="D33" s="376">
        <f t="shared" si="7"/>
        <v>33751</v>
      </c>
      <c r="E33" s="376">
        <f t="shared" si="7"/>
        <v>36987</v>
      </c>
      <c r="F33" s="376">
        <f t="shared" si="7"/>
        <v>36031</v>
      </c>
      <c r="G33" s="376">
        <f t="shared" si="7"/>
        <v>34329</v>
      </c>
      <c r="H33" s="376">
        <f t="shared" si="7"/>
        <v>33114</v>
      </c>
      <c r="I33" s="376">
        <f t="shared" si="7"/>
        <v>31466</v>
      </c>
      <c r="J33" s="465">
        <f t="shared" si="7"/>
        <v>30769</v>
      </c>
    </row>
    <row r="34" spans="1:10" s="616" customFormat="1" ht="15" customHeight="1" x14ac:dyDescent="0.2">
      <c r="A34" s="139" t="s">
        <v>284</v>
      </c>
      <c r="B34" s="373">
        <v>133</v>
      </c>
      <c r="C34" s="373">
        <v>81</v>
      </c>
      <c r="D34" s="373">
        <v>44</v>
      </c>
      <c r="E34" s="373">
        <v>226</v>
      </c>
      <c r="F34" s="373">
        <v>167</v>
      </c>
      <c r="G34" s="373">
        <v>118</v>
      </c>
      <c r="H34" s="373">
        <v>64</v>
      </c>
      <c r="I34" s="373">
        <v>151</v>
      </c>
      <c r="J34" s="374">
        <v>97</v>
      </c>
    </row>
    <row r="35" spans="1:10" s="616" customFormat="1" ht="15" customHeight="1" x14ac:dyDescent="0.2">
      <c r="A35" s="139" t="s">
        <v>285</v>
      </c>
      <c r="B35" s="373">
        <v>12410</v>
      </c>
      <c r="C35" s="373">
        <v>11359</v>
      </c>
      <c r="D35" s="373">
        <v>11180</v>
      </c>
      <c r="E35" s="373">
        <v>13871</v>
      </c>
      <c r="F35" s="373">
        <v>14714</v>
      </c>
      <c r="G35" s="373">
        <v>14274</v>
      </c>
      <c r="H35" s="373">
        <v>14423</v>
      </c>
      <c r="I35" s="373">
        <f>4959+8689</f>
        <v>13648</v>
      </c>
      <c r="J35" s="374">
        <v>16002</v>
      </c>
    </row>
    <row r="36" spans="1:10" s="616" customFormat="1" ht="15" customHeight="1" x14ac:dyDescent="0.2">
      <c r="A36" s="139" t="s">
        <v>287</v>
      </c>
      <c r="B36" s="373">
        <v>25650</v>
      </c>
      <c r="C36" s="373">
        <v>24244</v>
      </c>
      <c r="D36" s="373">
        <v>22523</v>
      </c>
      <c r="E36" s="373">
        <v>22888</v>
      </c>
      <c r="F36" s="373">
        <v>21148</v>
      </c>
      <c r="G36" s="373">
        <v>19935</v>
      </c>
      <c r="H36" s="373">
        <v>18625</v>
      </c>
      <c r="I36" s="373">
        <f>6209+11456</f>
        <v>17665</v>
      </c>
      <c r="J36" s="374">
        <v>14669</v>
      </c>
    </row>
    <row r="37" spans="1:10" s="616" customFormat="1" ht="15" customHeight="1" x14ac:dyDescent="0.2">
      <c r="A37" s="139" t="s">
        <v>288</v>
      </c>
      <c r="B37" s="373">
        <v>10</v>
      </c>
      <c r="C37" s="373">
        <v>7</v>
      </c>
      <c r="D37" s="373">
        <f>3+1</f>
        <v>4</v>
      </c>
      <c r="E37" s="373">
        <v>2</v>
      </c>
      <c r="F37" s="373">
        <v>2</v>
      </c>
      <c r="G37" s="373">
        <v>2</v>
      </c>
      <c r="H37" s="373">
        <v>2</v>
      </c>
      <c r="I37" s="373">
        <v>2</v>
      </c>
      <c r="J37" s="374">
        <v>1</v>
      </c>
    </row>
    <row r="38" spans="1:10" s="616" customFormat="1" ht="15" customHeight="1" x14ac:dyDescent="0.2">
      <c r="A38" s="173" t="s">
        <v>289</v>
      </c>
      <c r="B38" s="376">
        <f t="shared" ref="B38:F38" si="8">SUM(B39)</f>
        <v>3</v>
      </c>
      <c r="C38" s="376">
        <f t="shared" si="8"/>
        <v>1</v>
      </c>
      <c r="D38" s="376">
        <f t="shared" si="8"/>
        <v>1</v>
      </c>
      <c r="E38" s="376">
        <f t="shared" si="8"/>
        <v>0</v>
      </c>
      <c r="F38" s="376">
        <f t="shared" si="8"/>
        <v>0</v>
      </c>
      <c r="G38" s="376">
        <f t="shared" ref="G38:J38" si="9">SUM(G39)</f>
        <v>0</v>
      </c>
      <c r="H38" s="376">
        <f t="shared" si="9"/>
        <v>0</v>
      </c>
      <c r="I38" s="376">
        <f t="shared" si="9"/>
        <v>0</v>
      </c>
      <c r="J38" s="377">
        <f t="shared" si="9"/>
        <v>0</v>
      </c>
    </row>
    <row r="39" spans="1:10" s="616" customFormat="1" ht="15" customHeight="1" x14ac:dyDescent="0.2">
      <c r="A39" s="139" t="s">
        <v>290</v>
      </c>
      <c r="B39" s="373">
        <v>3</v>
      </c>
      <c r="C39" s="373">
        <v>1</v>
      </c>
      <c r="D39" s="373">
        <v>1</v>
      </c>
      <c r="E39" s="373">
        <v>0</v>
      </c>
      <c r="F39" s="373">
        <v>0</v>
      </c>
      <c r="G39" s="373">
        <v>0</v>
      </c>
      <c r="H39" s="373">
        <v>0</v>
      </c>
      <c r="I39" s="373">
        <v>0</v>
      </c>
      <c r="J39" s="374">
        <v>0</v>
      </c>
    </row>
    <row r="40" spans="1:10" s="616" customFormat="1" ht="15" customHeight="1" x14ac:dyDescent="0.2">
      <c r="A40" s="695" t="s">
        <v>291</v>
      </c>
      <c r="B40" s="376">
        <v>19346</v>
      </c>
      <c r="C40" s="376">
        <v>10395</v>
      </c>
      <c r="D40" s="376">
        <v>18181</v>
      </c>
      <c r="E40" s="376">
        <v>13145</v>
      </c>
      <c r="F40" s="376">
        <v>13436</v>
      </c>
      <c r="G40" s="376">
        <v>15705</v>
      </c>
      <c r="H40" s="376">
        <v>14256</v>
      </c>
      <c r="I40" s="376">
        <f>14563+134-1</f>
        <v>14696</v>
      </c>
      <c r="J40" s="465">
        <v>14275</v>
      </c>
    </row>
    <row r="41" spans="1:10" s="616" customFormat="1" ht="15" customHeight="1" x14ac:dyDescent="0.2">
      <c r="A41" s="695" t="s">
        <v>292</v>
      </c>
      <c r="B41" s="376">
        <v>177834</v>
      </c>
      <c r="C41" s="376">
        <v>182973</v>
      </c>
      <c r="D41" s="376">
        <v>190649</v>
      </c>
      <c r="E41" s="376">
        <v>213608</v>
      </c>
      <c r="F41" s="376">
        <v>223342</v>
      </c>
      <c r="G41" s="376">
        <v>229433</v>
      </c>
      <c r="H41" s="376">
        <v>233640</v>
      </c>
      <c r="I41" s="376">
        <f>210712+28576</f>
        <v>239288</v>
      </c>
      <c r="J41" s="465">
        <v>246653</v>
      </c>
    </row>
    <row r="42" spans="1:10" s="616" customFormat="1" ht="15" customHeight="1" x14ac:dyDescent="0.2">
      <c r="A42" s="601" t="s">
        <v>293</v>
      </c>
      <c r="B42" s="376">
        <f t="shared" ref="B42:J42" si="10">SUM(B43:B51)</f>
        <v>127572</v>
      </c>
      <c r="C42" s="376">
        <f t="shared" si="10"/>
        <v>142443</v>
      </c>
      <c r="D42" s="376">
        <f t="shared" si="10"/>
        <v>154809</v>
      </c>
      <c r="E42" s="376">
        <f t="shared" si="10"/>
        <v>155619</v>
      </c>
      <c r="F42" s="376">
        <f t="shared" si="10"/>
        <v>149153</v>
      </c>
      <c r="G42" s="376">
        <f t="shared" si="10"/>
        <v>146062</v>
      </c>
      <c r="H42" s="376">
        <f t="shared" si="10"/>
        <v>144973</v>
      </c>
      <c r="I42" s="376">
        <f t="shared" si="10"/>
        <v>135314</v>
      </c>
      <c r="J42" s="377">
        <f t="shared" si="10"/>
        <v>129258</v>
      </c>
    </row>
    <row r="43" spans="1:10" s="616" customFormat="1" ht="15" customHeight="1" x14ac:dyDescent="0.2">
      <c r="A43" s="139" t="s">
        <v>294</v>
      </c>
      <c r="B43" s="373">
        <v>601</v>
      </c>
      <c r="C43" s="373">
        <v>5126</v>
      </c>
      <c r="D43" s="373">
        <v>3442</v>
      </c>
      <c r="E43" s="373">
        <v>3749</v>
      </c>
      <c r="F43" s="373">
        <v>731</v>
      </c>
      <c r="G43" s="373">
        <v>4490</v>
      </c>
      <c r="H43" s="373">
        <v>3362</v>
      </c>
      <c r="I43" s="373">
        <v>4353</v>
      </c>
      <c r="J43" s="374">
        <v>1114</v>
      </c>
    </row>
    <row r="44" spans="1:10" s="616" customFormat="1" ht="15" customHeight="1" x14ac:dyDescent="0.2">
      <c r="A44" s="172" t="s">
        <v>118</v>
      </c>
      <c r="B44" s="373">
        <v>5617</v>
      </c>
      <c r="C44" s="373">
        <v>17358</v>
      </c>
      <c r="D44" s="373">
        <v>25426</v>
      </c>
      <c r="E44" s="373">
        <v>14107</v>
      </c>
      <c r="F44" s="373">
        <v>8749</v>
      </c>
      <c r="G44" s="373">
        <v>10964</v>
      </c>
      <c r="H44" s="373">
        <v>7106</v>
      </c>
      <c r="I44" s="373">
        <v>10823</v>
      </c>
      <c r="J44" s="374">
        <v>7655</v>
      </c>
    </row>
    <row r="45" spans="1:10" s="616" customFormat="1" ht="15" customHeight="1" x14ac:dyDescent="0.2">
      <c r="A45" s="139" t="s">
        <v>295</v>
      </c>
      <c r="B45" s="373">
        <v>3770</v>
      </c>
      <c r="C45" s="373">
        <v>1388</v>
      </c>
      <c r="D45" s="373">
        <v>2600</v>
      </c>
      <c r="E45" s="373">
        <v>3641</v>
      </c>
      <c r="F45" s="373">
        <v>4631</v>
      </c>
      <c r="G45" s="373">
        <v>1794</v>
      </c>
      <c r="H45" s="373">
        <v>2494</v>
      </c>
      <c r="I45" s="373">
        <v>2993</v>
      </c>
      <c r="J45" s="374">
        <v>4524</v>
      </c>
    </row>
    <row r="46" spans="1:10" s="616" customFormat="1" ht="15" customHeight="1" x14ac:dyDescent="0.2">
      <c r="A46" s="139" t="s">
        <v>386</v>
      </c>
      <c r="B46" s="373">
        <v>15113</v>
      </c>
      <c r="C46" s="373">
        <v>9249</v>
      </c>
      <c r="D46" s="373">
        <v>10877</v>
      </c>
      <c r="E46" s="373">
        <v>7490</v>
      </c>
      <c r="F46" s="373">
        <v>6936</v>
      </c>
      <c r="G46" s="373">
        <v>7370</v>
      </c>
      <c r="H46" s="373">
        <v>6963</v>
      </c>
      <c r="I46" s="373">
        <f>4245+5656</f>
        <v>9901</v>
      </c>
      <c r="J46" s="374">
        <v>8445</v>
      </c>
    </row>
    <row r="47" spans="1:10" s="616" customFormat="1" ht="15" customHeight="1" x14ac:dyDescent="0.2">
      <c r="A47" s="172" t="s">
        <v>239</v>
      </c>
      <c r="B47" s="547">
        <v>2716</v>
      </c>
      <c r="C47" s="547">
        <v>2995</v>
      </c>
      <c r="D47" s="547">
        <v>2582</v>
      </c>
      <c r="E47" s="547">
        <v>3013</v>
      </c>
      <c r="F47" s="547">
        <v>2570</v>
      </c>
      <c r="G47" s="547">
        <v>3256</v>
      </c>
      <c r="H47" s="547">
        <v>2085</v>
      </c>
      <c r="I47" s="547">
        <v>2791</v>
      </c>
      <c r="J47" s="464">
        <v>2317</v>
      </c>
    </row>
    <row r="48" spans="1:10" s="616" customFormat="1" ht="15" customHeight="1" x14ac:dyDescent="0.2">
      <c r="A48" s="139" t="s">
        <v>296</v>
      </c>
      <c r="B48" s="373">
        <v>5</v>
      </c>
      <c r="C48" s="373">
        <v>1</v>
      </c>
      <c r="D48" s="373">
        <v>1</v>
      </c>
      <c r="E48" s="373">
        <v>2</v>
      </c>
      <c r="F48" s="373">
        <v>4</v>
      </c>
      <c r="G48" s="373">
        <v>1</v>
      </c>
      <c r="H48" s="373">
        <v>1</v>
      </c>
      <c r="I48" s="373">
        <v>1</v>
      </c>
      <c r="J48" s="374">
        <v>1</v>
      </c>
    </row>
    <row r="49" spans="1:10" s="616" customFormat="1" ht="15" customHeight="1" x14ac:dyDescent="0.2">
      <c r="A49" s="172" t="s">
        <v>117</v>
      </c>
      <c r="B49" s="547">
        <v>38838</v>
      </c>
      <c r="C49" s="547">
        <v>37771</v>
      </c>
      <c r="D49" s="547">
        <v>37075</v>
      </c>
      <c r="E49" s="547">
        <v>38785</v>
      </c>
      <c r="F49" s="547">
        <v>37651</v>
      </c>
      <c r="G49" s="547">
        <v>35046</v>
      </c>
      <c r="H49" s="547">
        <v>31053</v>
      </c>
      <c r="I49" s="547">
        <f>11106+16128</f>
        <v>27234</v>
      </c>
      <c r="J49" s="464">
        <v>27050</v>
      </c>
    </row>
    <row r="50" spans="1:10" s="616" customFormat="1" ht="15" customHeight="1" x14ac:dyDescent="0.2">
      <c r="A50" s="172" t="s">
        <v>586</v>
      </c>
      <c r="B50" s="547">
        <v>11445</v>
      </c>
      <c r="C50" s="547">
        <v>12413</v>
      </c>
      <c r="D50" s="547">
        <v>13877</v>
      </c>
      <c r="E50" s="547">
        <v>15058</v>
      </c>
      <c r="F50" s="547">
        <v>14960</v>
      </c>
      <c r="G50" s="547">
        <v>15800</v>
      </c>
      <c r="H50" s="547">
        <v>22623</v>
      </c>
      <c r="I50" s="547">
        <v>23300</v>
      </c>
      <c r="J50" s="464">
        <v>23130</v>
      </c>
    </row>
    <row r="51" spans="1:10" s="616" customFormat="1" ht="15" customHeight="1" x14ac:dyDescent="0.2">
      <c r="A51" s="139" t="s">
        <v>241</v>
      </c>
      <c r="B51" s="547">
        <v>49467</v>
      </c>
      <c r="C51" s="547">
        <v>56142</v>
      </c>
      <c r="D51" s="547">
        <v>58929</v>
      </c>
      <c r="E51" s="547">
        <v>69774</v>
      </c>
      <c r="F51" s="547">
        <v>72921</v>
      </c>
      <c r="G51" s="547">
        <v>67341</v>
      </c>
      <c r="H51" s="547">
        <f>69286</f>
        <v>69286</v>
      </c>
      <c r="I51" s="547">
        <f>27692+26226</f>
        <v>53918</v>
      </c>
      <c r="J51" s="464">
        <v>55022</v>
      </c>
    </row>
    <row r="52" spans="1:10" s="616" customFormat="1" ht="15" customHeight="1" x14ac:dyDescent="0.2">
      <c r="A52" s="173" t="s">
        <v>297</v>
      </c>
      <c r="B52" s="376">
        <f t="shared" ref="B52:J52" si="11">B53</f>
        <v>524</v>
      </c>
      <c r="C52" s="376">
        <f t="shared" si="11"/>
        <v>488</v>
      </c>
      <c r="D52" s="376">
        <f t="shared" si="11"/>
        <v>503</v>
      </c>
      <c r="E52" s="376">
        <f t="shared" si="11"/>
        <v>473</v>
      </c>
      <c r="F52" s="376">
        <v>477</v>
      </c>
      <c r="G52" s="376">
        <f t="shared" si="11"/>
        <v>426</v>
      </c>
      <c r="H52" s="376">
        <f t="shared" si="11"/>
        <v>429</v>
      </c>
      <c r="I52" s="376">
        <f t="shared" si="11"/>
        <v>401</v>
      </c>
      <c r="J52" s="377">
        <f t="shared" si="11"/>
        <v>410</v>
      </c>
    </row>
    <row r="53" spans="1:10" s="616" customFormat="1" ht="15" customHeight="1" x14ac:dyDescent="0.2">
      <c r="A53" s="474" t="s">
        <v>82</v>
      </c>
      <c r="B53" s="549">
        <v>524</v>
      </c>
      <c r="C53" s="549">
        <v>488</v>
      </c>
      <c r="D53" s="549">
        <v>503</v>
      </c>
      <c r="E53" s="549">
        <v>473</v>
      </c>
      <c r="F53" s="549">
        <v>477</v>
      </c>
      <c r="G53" s="549">
        <v>426</v>
      </c>
      <c r="H53" s="549">
        <v>429</v>
      </c>
      <c r="I53" s="549">
        <v>401</v>
      </c>
      <c r="J53" s="466">
        <v>410</v>
      </c>
    </row>
    <row r="54" spans="1:10" s="616" customFormat="1" ht="15" customHeight="1" x14ac:dyDescent="0.2">
      <c r="A54" s="145" t="s">
        <v>298</v>
      </c>
      <c r="B54" s="548">
        <v>395</v>
      </c>
      <c r="C54" s="548">
        <v>422</v>
      </c>
      <c r="D54" s="548">
        <v>414</v>
      </c>
      <c r="E54" s="548">
        <v>436</v>
      </c>
      <c r="F54" s="548">
        <v>449</v>
      </c>
      <c r="G54" s="548">
        <v>487</v>
      </c>
      <c r="H54" s="548">
        <v>473</v>
      </c>
      <c r="I54" s="548">
        <v>555</v>
      </c>
      <c r="J54" s="465">
        <v>563</v>
      </c>
    </row>
    <row r="55" spans="1:10" s="616" customFormat="1" ht="15" customHeight="1" x14ac:dyDescent="0.2">
      <c r="A55" s="145" t="s">
        <v>299</v>
      </c>
      <c r="B55" s="376">
        <f>SUM(B57:B63)</f>
        <v>88906</v>
      </c>
      <c r="C55" s="376">
        <f>SUM(C57:C63)</f>
        <v>93330</v>
      </c>
      <c r="D55" s="376">
        <f t="shared" ref="D55:J55" si="12">SUM(D57:D63)</f>
        <v>96359</v>
      </c>
      <c r="E55" s="376">
        <f t="shared" si="12"/>
        <v>98550</v>
      </c>
      <c r="F55" s="376">
        <f t="shared" si="12"/>
        <v>100443</v>
      </c>
      <c r="G55" s="376">
        <f t="shared" si="12"/>
        <v>104557</v>
      </c>
      <c r="H55" s="376">
        <f t="shared" si="12"/>
        <v>106807</v>
      </c>
      <c r="I55" s="376">
        <f t="shared" si="12"/>
        <v>110299</v>
      </c>
      <c r="J55" s="465">
        <f t="shared" si="12"/>
        <v>110457</v>
      </c>
    </row>
    <row r="56" spans="1:10" s="616" customFormat="1" ht="15" customHeight="1" x14ac:dyDescent="0.2">
      <c r="A56" s="169" t="s">
        <v>8</v>
      </c>
      <c r="B56" s="547"/>
      <c r="C56" s="547"/>
      <c r="D56" s="547"/>
      <c r="E56" s="547"/>
      <c r="F56" s="547"/>
      <c r="G56" s="547"/>
      <c r="H56" s="547"/>
      <c r="I56" s="547"/>
      <c r="J56" s="464"/>
    </row>
    <row r="57" spans="1:10" s="616" customFormat="1" ht="15" customHeight="1" x14ac:dyDescent="0.2">
      <c r="A57" s="139" t="s">
        <v>300</v>
      </c>
      <c r="B57" s="373">
        <v>45521</v>
      </c>
      <c r="C57" s="373">
        <v>50461</v>
      </c>
      <c r="D57" s="373">
        <v>50461</v>
      </c>
      <c r="E57" s="373">
        <v>50461</v>
      </c>
      <c r="F57" s="373">
        <v>50462</v>
      </c>
      <c r="G57" s="373">
        <v>58362</v>
      </c>
      <c r="H57" s="373">
        <v>58362</v>
      </c>
      <c r="I57" s="373">
        <v>58362</v>
      </c>
      <c r="J57" s="374">
        <v>58362</v>
      </c>
    </row>
    <row r="58" spans="1:10" s="616" customFormat="1" ht="15" customHeight="1" x14ac:dyDescent="0.2">
      <c r="A58" s="139" t="s">
        <v>301</v>
      </c>
      <c r="B58" s="373">
        <v>579</v>
      </c>
      <c r="C58" s="373">
        <v>639</v>
      </c>
      <c r="D58" s="373">
        <v>640</v>
      </c>
      <c r="E58" s="373">
        <v>639</v>
      </c>
      <c r="F58" s="373">
        <v>638</v>
      </c>
      <c r="G58" s="373">
        <v>738</v>
      </c>
      <c r="H58" s="373">
        <v>738</v>
      </c>
      <c r="I58" s="373">
        <v>738</v>
      </c>
      <c r="J58" s="374">
        <v>738</v>
      </c>
    </row>
    <row r="59" spans="1:10" s="616" customFormat="1" ht="15" customHeight="1" x14ac:dyDescent="0.2">
      <c r="A59" s="139" t="s">
        <v>302</v>
      </c>
      <c r="B59" s="373">
        <v>-3000</v>
      </c>
      <c r="C59" s="373">
        <v>0</v>
      </c>
      <c r="D59" s="373">
        <v>0</v>
      </c>
      <c r="E59" s="373">
        <v>0</v>
      </c>
      <c r="F59" s="373">
        <v>0</v>
      </c>
      <c r="G59" s="373">
        <v>0</v>
      </c>
      <c r="H59" s="373">
        <v>0</v>
      </c>
      <c r="I59" s="373">
        <v>0</v>
      </c>
      <c r="J59" s="374">
        <v>0</v>
      </c>
    </row>
    <row r="60" spans="1:10" s="616" customFormat="1" ht="15" customHeight="1" x14ac:dyDescent="0.2">
      <c r="A60" s="139" t="s">
        <v>303</v>
      </c>
      <c r="B60" s="373">
        <v>11</v>
      </c>
      <c r="C60" s="373">
        <v>11</v>
      </c>
      <c r="D60" s="373">
        <v>11</v>
      </c>
      <c r="E60" s="373">
        <v>11</v>
      </c>
      <c r="F60" s="373">
        <v>11</v>
      </c>
      <c r="G60" s="373">
        <v>11</v>
      </c>
      <c r="H60" s="373">
        <v>11</v>
      </c>
      <c r="I60" s="373">
        <v>11</v>
      </c>
      <c r="J60" s="374">
        <v>11</v>
      </c>
    </row>
    <row r="61" spans="1:10" s="616" customFormat="1" ht="15" customHeight="1" x14ac:dyDescent="0.2">
      <c r="A61" s="139" t="s">
        <v>304</v>
      </c>
      <c r="B61" s="373">
        <v>50341</v>
      </c>
      <c r="C61" s="373">
        <v>45011</v>
      </c>
      <c r="D61" s="373">
        <v>47690</v>
      </c>
      <c r="E61" s="373">
        <v>48648</v>
      </c>
      <c r="F61" s="373">
        <v>50449</v>
      </c>
      <c r="G61" s="373">
        <v>44674</v>
      </c>
      <c r="H61" s="373">
        <v>47621</v>
      </c>
      <c r="I61" s="373">
        <v>48718</v>
      </c>
      <c r="J61" s="374">
        <v>49902</v>
      </c>
    </row>
    <row r="62" spans="1:10" s="616" customFormat="1" ht="15" customHeight="1" x14ac:dyDescent="0.2">
      <c r="A62" s="172" t="s">
        <v>305</v>
      </c>
      <c r="B62" s="547">
        <v>-4115</v>
      </c>
      <c r="C62" s="547">
        <v>-2352</v>
      </c>
      <c r="D62" s="547">
        <v>-2003</v>
      </c>
      <c r="E62" s="547">
        <v>-769</v>
      </c>
      <c r="F62" s="547">
        <v>-677</v>
      </c>
      <c r="G62" s="547">
        <v>1213</v>
      </c>
      <c r="H62" s="547">
        <v>516</v>
      </c>
      <c r="I62" s="547">
        <v>2911</v>
      </c>
      <c r="J62" s="464">
        <v>1885</v>
      </c>
    </row>
    <row r="63" spans="1:10" s="616" customFormat="1" ht="15" customHeight="1" x14ac:dyDescent="0.2">
      <c r="A63" s="139" t="s">
        <v>306</v>
      </c>
      <c r="B63" s="373">
        <v>-431</v>
      </c>
      <c r="C63" s="373">
        <v>-440</v>
      </c>
      <c r="D63" s="373">
        <v>-440</v>
      </c>
      <c r="E63" s="373">
        <v>-440</v>
      </c>
      <c r="F63" s="373">
        <v>-440</v>
      </c>
      <c r="G63" s="373">
        <v>-441</v>
      </c>
      <c r="H63" s="373">
        <v>-441</v>
      </c>
      <c r="I63" s="373">
        <v>-441</v>
      </c>
      <c r="J63" s="374">
        <v>-441</v>
      </c>
    </row>
    <row r="64" spans="1:10" s="616" customFormat="1" ht="15" customHeight="1" x14ac:dyDescent="0.2">
      <c r="A64" s="145" t="s">
        <v>588</v>
      </c>
      <c r="B64" s="548">
        <v>89301</v>
      </c>
      <c r="C64" s="548">
        <v>93752</v>
      </c>
      <c r="D64" s="548">
        <v>96773</v>
      </c>
      <c r="E64" s="548">
        <v>98986</v>
      </c>
      <c r="F64" s="548">
        <v>100892</v>
      </c>
      <c r="G64" s="548">
        <v>105044</v>
      </c>
      <c r="H64" s="548">
        <v>107280</v>
      </c>
      <c r="I64" s="548">
        <v>110855</v>
      </c>
      <c r="J64" s="465">
        <v>111021</v>
      </c>
    </row>
    <row r="65" spans="1:10" s="616" customFormat="1" ht="5.0999999999999996" customHeight="1" x14ac:dyDescent="0.2">
      <c r="A65" s="595"/>
      <c r="B65" s="373"/>
      <c r="C65" s="373"/>
      <c r="D65" s="373"/>
      <c r="E65" s="373"/>
      <c r="F65" s="373"/>
      <c r="G65" s="373"/>
      <c r="H65" s="373"/>
      <c r="I65" s="373"/>
      <c r="J65" s="373"/>
    </row>
    <row r="66" spans="1:10" s="605" customFormat="1" ht="15" customHeight="1" thickBot="1" x14ac:dyDescent="0.25">
      <c r="A66" s="621" t="s">
        <v>9</v>
      </c>
      <c r="B66" s="375">
        <f t="shared" ref="B66:I66" si="13">B10+B52+B54+B55</f>
        <v>1018908</v>
      </c>
      <c r="C66" s="375">
        <f t="shared" si="13"/>
        <v>1023974</v>
      </c>
      <c r="D66" s="375">
        <f t="shared" si="13"/>
        <v>1041815</v>
      </c>
      <c r="E66" s="375">
        <f t="shared" si="13"/>
        <v>1185855</v>
      </c>
      <c r="F66" s="375">
        <f t="shared" si="13"/>
        <v>1179607</v>
      </c>
      <c r="G66" s="375">
        <f t="shared" si="13"/>
        <v>1189381</v>
      </c>
      <c r="H66" s="375">
        <f t="shared" si="13"/>
        <v>1189124</v>
      </c>
      <c r="I66" s="375">
        <f t="shared" si="13"/>
        <v>1216691</v>
      </c>
      <c r="J66" s="375">
        <f t="shared" ref="J66" si="14">J10+J52+J54+J55</f>
        <v>1211272</v>
      </c>
    </row>
    <row r="67" spans="1:10" s="616" customFormat="1" ht="15" customHeight="1" thickTop="1" x14ac:dyDescent="0.2">
      <c r="A67" s="630"/>
      <c r="B67" s="630"/>
      <c r="C67" s="630"/>
      <c r="D67" s="630"/>
      <c r="E67" s="630"/>
      <c r="F67" s="630"/>
      <c r="G67" s="630"/>
      <c r="H67" s="630"/>
      <c r="I67" s="630"/>
      <c r="J67" s="630"/>
    </row>
    <row r="68" spans="1:10" x14ac:dyDescent="0.2">
      <c r="B68" s="716"/>
      <c r="C68" s="716"/>
      <c r="D68" s="716"/>
      <c r="E68" s="716"/>
      <c r="F68" s="716"/>
      <c r="G68" s="716"/>
      <c r="H68" s="716"/>
      <c r="I68" s="716"/>
      <c r="J68" s="716"/>
    </row>
  </sheetData>
  <hyperlinks>
    <hyperlink ref="J6" location="Índex!E9" display="Índex"/>
  </hyperlinks>
  <printOptions horizontalCentered="1"/>
  <pageMargins left="0" right="0" top="0.19685039370078741" bottom="0.19685039370078741" header="0.19685039370078741" footer="0.19685039370078741"/>
  <pageSetup paperSize="9" scale="64" fitToHeight="5" orientation="portrait" r:id="rId1"/>
  <headerFooter>
    <oddHeader>&amp;R&amp;P/&amp;N</oddHeader>
  </headerFooter>
  <colBreaks count="1" manualBreakCount="1">
    <brk id="6" max="67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K42"/>
  <sheetViews>
    <sheetView showGridLines="0" zoomScaleNormal="100" workbookViewId="0">
      <pane xSplit="1" ySplit="8" topLeftCell="B9" activePane="bottomRight" state="frozen"/>
      <selection activeCell="E9" sqref="E9"/>
      <selection pane="topRight" activeCell="E9" sqref="E9"/>
      <selection pane="bottomLeft" activeCell="E9" sqref="E9"/>
      <selection pane="bottomRight" activeCell="L6" sqref="L6"/>
    </sheetView>
  </sheetViews>
  <sheetFormatPr defaultColWidth="10.7109375" defaultRowHeight="15" customHeight="1" x14ac:dyDescent="0.2"/>
  <cols>
    <col min="1" max="1" width="68.7109375" style="1" bestFit="1" customWidth="1"/>
    <col min="2" max="2" width="10.7109375" style="1" customWidth="1"/>
    <col min="3" max="6" width="10.7109375" style="1"/>
    <col min="7" max="7" width="10.7109375" style="1" customWidth="1"/>
    <col min="8" max="11" width="10.7109375" style="1"/>
    <col min="12" max="12" width="10.7109375" style="1" customWidth="1"/>
    <col min="13" max="16384" width="10.7109375" style="1"/>
  </cols>
  <sheetData>
    <row r="1" spans="1:219" s="600" customFormat="1" ht="15" customHeight="1" x14ac:dyDescent="0.2">
      <c r="A1" s="595"/>
      <c r="B1" s="596"/>
      <c r="C1" s="596"/>
      <c r="D1" s="596"/>
      <c r="E1" s="596"/>
      <c r="F1" s="597"/>
      <c r="G1" s="598"/>
      <c r="H1" s="596"/>
      <c r="I1" s="596"/>
      <c r="J1" s="598"/>
      <c r="K1" s="598"/>
      <c r="L1" s="598"/>
      <c r="M1" s="598"/>
      <c r="N1" s="598"/>
      <c r="O1" s="598"/>
      <c r="P1" s="598"/>
      <c r="Q1" s="598"/>
      <c r="R1" s="598"/>
      <c r="S1" s="598"/>
      <c r="T1" s="598"/>
      <c r="U1" s="598"/>
      <c r="V1" s="598"/>
      <c r="W1" s="598"/>
      <c r="X1" s="598"/>
      <c r="Y1" s="598"/>
      <c r="Z1" s="598"/>
      <c r="AA1" s="598"/>
      <c r="AB1" s="598"/>
      <c r="AC1" s="598"/>
      <c r="AD1" s="598"/>
      <c r="AE1" s="598"/>
      <c r="AF1" s="598"/>
      <c r="AG1" s="598"/>
      <c r="AH1" s="598"/>
      <c r="AI1" s="598"/>
      <c r="AJ1" s="598"/>
      <c r="AK1" s="598"/>
      <c r="AL1" s="598"/>
      <c r="AM1" s="598"/>
      <c r="AN1" s="598"/>
      <c r="AO1" s="598"/>
      <c r="AP1" s="598"/>
      <c r="AQ1" s="598"/>
      <c r="AR1" s="598"/>
      <c r="AS1" s="598"/>
      <c r="AT1" s="599"/>
      <c r="AU1" s="598"/>
      <c r="AV1" s="599"/>
      <c r="AW1" s="598"/>
      <c r="AX1" s="599"/>
      <c r="AY1" s="598"/>
      <c r="AZ1" s="599"/>
      <c r="BA1" s="598"/>
      <c r="BB1" s="599"/>
      <c r="BC1" s="598"/>
      <c r="BD1" s="599"/>
      <c r="BE1" s="598"/>
      <c r="BF1" s="599"/>
      <c r="BG1" s="598"/>
      <c r="BH1" s="599"/>
      <c r="BI1" s="598"/>
      <c r="BJ1" s="599"/>
      <c r="BK1" s="598"/>
      <c r="BL1" s="599"/>
      <c r="BM1" s="598"/>
      <c r="BN1" s="599"/>
      <c r="BO1" s="598"/>
      <c r="BP1" s="599"/>
      <c r="BQ1" s="598"/>
      <c r="BR1" s="599"/>
      <c r="BS1" s="598"/>
      <c r="BT1" s="599"/>
      <c r="BU1" s="598"/>
      <c r="BV1" s="599"/>
      <c r="BW1" s="598"/>
      <c r="BX1" s="599"/>
      <c r="BY1" s="598"/>
      <c r="BZ1" s="599"/>
      <c r="CA1" s="597"/>
      <c r="CB1" s="597"/>
      <c r="CC1" s="598"/>
      <c r="CD1" s="599"/>
      <c r="CE1" s="596"/>
      <c r="CF1" s="596"/>
      <c r="CG1" s="596"/>
      <c r="CH1" s="596"/>
      <c r="CI1" s="596"/>
      <c r="CJ1" s="599"/>
      <c r="CK1" s="596"/>
      <c r="CL1" s="599"/>
      <c r="CM1" s="596"/>
      <c r="CN1" s="596"/>
      <c r="CO1" s="596"/>
      <c r="CP1" s="595"/>
      <c r="CQ1" s="595"/>
      <c r="CR1" s="598"/>
      <c r="CS1" s="599"/>
      <c r="CT1" s="598"/>
      <c r="CU1" s="599"/>
      <c r="CV1" s="598"/>
      <c r="CW1" s="599"/>
      <c r="CX1" s="598"/>
      <c r="CY1" s="599"/>
      <c r="CZ1" s="598"/>
      <c r="DA1" s="599"/>
      <c r="DB1" s="598"/>
      <c r="DC1" s="599"/>
      <c r="DD1" s="598"/>
      <c r="DE1" s="599"/>
      <c r="DF1" s="598"/>
      <c r="DG1" s="599"/>
      <c r="DH1" s="598"/>
      <c r="DI1" s="599"/>
      <c r="DJ1" s="598"/>
      <c r="DK1" s="599"/>
      <c r="DL1" s="598"/>
      <c r="DM1" s="599"/>
      <c r="DN1" s="598"/>
      <c r="DO1" s="599"/>
      <c r="DP1" s="598"/>
      <c r="DQ1" s="599"/>
      <c r="DR1" s="598"/>
      <c r="DS1" s="599"/>
      <c r="DT1" s="598"/>
      <c r="DU1" s="599"/>
      <c r="DV1" s="598"/>
      <c r="DW1" s="599"/>
      <c r="DX1" s="598"/>
      <c r="DY1" s="599"/>
      <c r="DZ1" s="598"/>
      <c r="EA1" s="599"/>
      <c r="EB1" s="598"/>
      <c r="EC1" s="599"/>
      <c r="ED1" s="598"/>
      <c r="EE1" s="599"/>
      <c r="EF1" s="597"/>
      <c r="EG1" s="597"/>
      <c r="EH1" s="598"/>
      <c r="EI1" s="599"/>
      <c r="EJ1" s="596"/>
      <c r="EK1" s="596"/>
      <c r="EL1" s="596"/>
      <c r="EM1" s="596"/>
      <c r="EN1" s="596"/>
      <c r="EO1" s="599"/>
      <c r="EP1" s="596"/>
      <c r="EQ1" s="599"/>
      <c r="ER1" s="596"/>
      <c r="ES1" s="596"/>
      <c r="ET1" s="596"/>
      <c r="EU1" s="595"/>
      <c r="EV1" s="595"/>
      <c r="EW1" s="598"/>
      <c r="EX1" s="599"/>
      <c r="EY1" s="598"/>
      <c r="EZ1" s="599"/>
      <c r="FA1" s="598"/>
      <c r="FB1" s="599"/>
      <c r="FC1" s="598"/>
      <c r="FD1" s="599"/>
      <c r="FE1" s="598"/>
      <c r="FF1" s="599"/>
      <c r="FG1" s="598"/>
      <c r="FH1" s="599"/>
      <c r="FI1" s="598"/>
      <c r="FJ1" s="599"/>
      <c r="FK1" s="598"/>
      <c r="FL1" s="599"/>
      <c r="FM1" s="598"/>
      <c r="FN1" s="599"/>
      <c r="FO1" s="598"/>
      <c r="FP1" s="599"/>
      <c r="FQ1" s="598"/>
      <c r="FR1" s="599"/>
      <c r="FS1" s="598"/>
      <c r="FT1" s="599"/>
      <c r="FU1" s="598"/>
      <c r="FV1" s="599"/>
      <c r="FW1" s="598"/>
      <c r="FX1" s="599"/>
      <c r="FY1" s="598"/>
      <c r="FZ1" s="599"/>
      <c r="GA1" s="598"/>
      <c r="GB1" s="599"/>
      <c r="GC1" s="598"/>
      <c r="GD1" s="599"/>
      <c r="GE1" s="598"/>
      <c r="GF1" s="599"/>
      <c r="GG1" s="598"/>
      <c r="GH1" s="599"/>
      <c r="GI1" s="598"/>
      <c r="GJ1" s="599"/>
      <c r="GK1" s="597"/>
      <c r="GL1" s="597"/>
      <c r="GM1" s="598"/>
      <c r="GN1" s="599"/>
      <c r="GO1" s="596"/>
      <c r="GP1" s="596"/>
      <c r="GQ1" s="596"/>
      <c r="GR1" s="596"/>
      <c r="GS1" s="596"/>
      <c r="GT1" s="599"/>
      <c r="GU1" s="596"/>
      <c r="GV1" s="599"/>
      <c r="GW1" s="596"/>
      <c r="GX1" s="596"/>
      <c r="GY1" s="596"/>
      <c r="GZ1" s="595"/>
      <c r="HA1" s="595"/>
      <c r="HB1" s="598"/>
      <c r="HC1" s="599"/>
      <c r="HD1" s="598"/>
      <c r="HE1" s="599"/>
      <c r="HF1" s="598"/>
      <c r="HG1" s="599"/>
      <c r="HH1" s="598"/>
      <c r="HI1" s="599"/>
      <c r="HJ1" s="598"/>
      <c r="HK1" s="599"/>
    </row>
    <row r="2" spans="1:219" s="600" customFormat="1" ht="15" customHeight="1" x14ac:dyDescent="0.2">
      <c r="A2" s="595"/>
      <c r="B2" s="596"/>
      <c r="C2" s="596"/>
      <c r="D2" s="596"/>
      <c r="E2" s="596"/>
      <c r="F2" s="597"/>
      <c r="G2" s="598"/>
      <c r="H2" s="596"/>
      <c r="I2" s="596"/>
      <c r="J2" s="598"/>
      <c r="K2" s="598"/>
      <c r="L2" s="598"/>
      <c r="M2" s="598"/>
      <c r="N2" s="598"/>
      <c r="O2" s="598"/>
      <c r="P2" s="598"/>
      <c r="Q2" s="598"/>
      <c r="R2" s="598"/>
      <c r="S2" s="598"/>
      <c r="T2" s="598"/>
      <c r="U2" s="598"/>
      <c r="V2" s="598"/>
      <c r="W2" s="598"/>
      <c r="X2" s="598"/>
      <c r="Y2" s="598"/>
      <c r="Z2" s="598"/>
      <c r="AA2" s="598"/>
      <c r="AB2" s="598"/>
      <c r="AC2" s="598"/>
      <c r="AD2" s="598"/>
      <c r="AE2" s="598"/>
      <c r="AF2" s="598"/>
      <c r="AG2" s="598"/>
      <c r="AH2" s="598"/>
      <c r="AI2" s="598"/>
      <c r="AJ2" s="598"/>
      <c r="AK2" s="598"/>
      <c r="AL2" s="598"/>
      <c r="AM2" s="598"/>
      <c r="AN2" s="598"/>
      <c r="AO2" s="598"/>
      <c r="AP2" s="598"/>
      <c r="AQ2" s="598"/>
      <c r="AR2" s="598"/>
      <c r="AS2" s="598"/>
      <c r="AT2" s="599"/>
      <c r="AU2" s="598"/>
      <c r="AV2" s="599"/>
      <c r="AW2" s="598"/>
      <c r="AX2" s="599"/>
      <c r="AY2" s="598"/>
      <c r="AZ2" s="599"/>
      <c r="BA2" s="598"/>
      <c r="BB2" s="599"/>
      <c r="BC2" s="598"/>
      <c r="BD2" s="599"/>
      <c r="BE2" s="598"/>
      <c r="BF2" s="599"/>
      <c r="BG2" s="598"/>
      <c r="BH2" s="599"/>
      <c r="BI2" s="598"/>
      <c r="BJ2" s="599"/>
      <c r="BK2" s="598"/>
      <c r="BL2" s="599"/>
      <c r="BM2" s="598"/>
      <c r="BN2" s="599"/>
      <c r="BO2" s="598"/>
      <c r="BP2" s="599"/>
      <c r="BQ2" s="598"/>
      <c r="BR2" s="599"/>
      <c r="BS2" s="598"/>
      <c r="BT2" s="599"/>
      <c r="BU2" s="598"/>
      <c r="BV2" s="599"/>
      <c r="BW2" s="598"/>
      <c r="BX2" s="599"/>
      <c r="BY2" s="598"/>
      <c r="BZ2" s="599"/>
      <c r="CA2" s="597"/>
      <c r="CB2" s="597"/>
      <c r="CC2" s="598"/>
      <c r="CD2" s="599"/>
      <c r="CE2" s="596"/>
      <c r="CF2" s="596"/>
      <c r="CG2" s="596"/>
      <c r="CH2" s="596"/>
      <c r="CI2" s="596"/>
      <c r="CJ2" s="599"/>
      <c r="CK2" s="596"/>
      <c r="CL2" s="599"/>
      <c r="CM2" s="596"/>
      <c r="CN2" s="596"/>
      <c r="CO2" s="596"/>
      <c r="CP2" s="595"/>
      <c r="CQ2" s="595"/>
      <c r="CR2" s="598"/>
      <c r="CS2" s="599"/>
      <c r="CT2" s="598"/>
      <c r="CU2" s="599"/>
      <c r="CV2" s="598"/>
      <c r="CW2" s="599"/>
      <c r="CX2" s="598"/>
      <c r="CY2" s="599"/>
      <c r="CZ2" s="598"/>
      <c r="DA2" s="599"/>
      <c r="DB2" s="598"/>
      <c r="DC2" s="599"/>
      <c r="DD2" s="598"/>
      <c r="DE2" s="599"/>
      <c r="DF2" s="598"/>
      <c r="DG2" s="599"/>
      <c r="DH2" s="598"/>
      <c r="DI2" s="599"/>
      <c r="DJ2" s="598"/>
      <c r="DK2" s="599"/>
      <c r="DL2" s="598"/>
      <c r="DM2" s="599"/>
      <c r="DN2" s="598"/>
      <c r="DO2" s="599"/>
      <c r="DP2" s="598"/>
      <c r="DQ2" s="599"/>
      <c r="DR2" s="598"/>
      <c r="DS2" s="599"/>
      <c r="DT2" s="598"/>
      <c r="DU2" s="599"/>
      <c r="DV2" s="598"/>
      <c r="DW2" s="599"/>
      <c r="DX2" s="598"/>
      <c r="DY2" s="599"/>
      <c r="DZ2" s="598"/>
      <c r="EA2" s="599"/>
      <c r="EB2" s="598"/>
      <c r="EC2" s="599"/>
      <c r="ED2" s="598"/>
      <c r="EE2" s="599"/>
      <c r="EF2" s="597"/>
      <c r="EG2" s="597"/>
      <c r="EH2" s="598"/>
      <c r="EI2" s="599"/>
      <c r="EJ2" s="596"/>
      <c r="EK2" s="596"/>
      <c r="EL2" s="596"/>
      <c r="EM2" s="596"/>
      <c r="EN2" s="596"/>
      <c r="EO2" s="599"/>
      <c r="EP2" s="596"/>
      <c r="EQ2" s="599"/>
      <c r="ER2" s="596"/>
      <c r="ES2" s="596"/>
      <c r="ET2" s="596"/>
      <c r="EU2" s="595"/>
      <c r="EV2" s="595"/>
      <c r="EW2" s="598"/>
      <c r="EX2" s="599"/>
      <c r="EY2" s="598"/>
      <c r="EZ2" s="599"/>
      <c r="FA2" s="598"/>
      <c r="FB2" s="599"/>
      <c r="FC2" s="598"/>
      <c r="FD2" s="599"/>
      <c r="FE2" s="598"/>
      <c r="FF2" s="599"/>
      <c r="FG2" s="598"/>
      <c r="FH2" s="599"/>
      <c r="FI2" s="598"/>
      <c r="FJ2" s="599"/>
      <c r="FK2" s="598"/>
      <c r="FL2" s="599"/>
      <c r="FM2" s="598"/>
      <c r="FN2" s="599"/>
      <c r="FO2" s="598"/>
      <c r="FP2" s="599"/>
      <c r="FQ2" s="598"/>
      <c r="FR2" s="599"/>
      <c r="FS2" s="598"/>
      <c r="FT2" s="599"/>
      <c r="FU2" s="598"/>
      <c r="FV2" s="599"/>
      <c r="FW2" s="598"/>
      <c r="FX2" s="599"/>
      <c r="FY2" s="598"/>
      <c r="FZ2" s="599"/>
      <c r="GA2" s="598"/>
      <c r="GB2" s="599"/>
      <c r="GC2" s="598"/>
      <c r="GD2" s="599"/>
      <c r="GE2" s="598"/>
      <c r="GF2" s="599"/>
      <c r="GG2" s="598"/>
      <c r="GH2" s="599"/>
      <c r="GI2" s="598"/>
      <c r="GJ2" s="599"/>
      <c r="GK2" s="597"/>
      <c r="GL2" s="597"/>
      <c r="GM2" s="598"/>
      <c r="GN2" s="599"/>
      <c r="GO2" s="596"/>
      <c r="GP2" s="596"/>
      <c r="GQ2" s="596"/>
      <c r="GR2" s="596"/>
      <c r="GS2" s="596"/>
      <c r="GT2" s="599"/>
      <c r="GU2" s="596"/>
      <c r="GV2" s="599"/>
      <c r="GW2" s="596"/>
      <c r="GX2" s="596"/>
      <c r="GY2" s="596"/>
      <c r="GZ2" s="595"/>
      <c r="HA2" s="595"/>
      <c r="HB2" s="598"/>
      <c r="HC2" s="599"/>
      <c r="HD2" s="598"/>
      <c r="HE2" s="599"/>
      <c r="HF2" s="598"/>
      <c r="HG2" s="599"/>
      <c r="HH2" s="598"/>
      <c r="HI2" s="599"/>
      <c r="HJ2" s="598"/>
      <c r="HK2" s="599"/>
    </row>
    <row r="3" spans="1:219" s="600" customFormat="1" ht="15" customHeight="1" x14ac:dyDescent="0.2">
      <c r="A3" s="595"/>
      <c r="B3" s="596"/>
      <c r="C3" s="596"/>
      <c r="D3" s="596"/>
      <c r="E3" s="596"/>
      <c r="F3" s="597"/>
      <c r="G3" s="598"/>
      <c r="H3" s="596"/>
      <c r="I3" s="596"/>
      <c r="J3" s="598"/>
      <c r="K3" s="598"/>
      <c r="L3" s="598"/>
      <c r="M3" s="598"/>
      <c r="N3" s="598"/>
      <c r="O3" s="598"/>
      <c r="P3" s="598"/>
      <c r="Q3" s="598"/>
      <c r="R3" s="598"/>
      <c r="S3" s="598"/>
      <c r="T3" s="598"/>
      <c r="U3" s="598"/>
      <c r="V3" s="598"/>
      <c r="W3" s="598"/>
      <c r="X3" s="598"/>
      <c r="Y3" s="598"/>
      <c r="Z3" s="598"/>
      <c r="AA3" s="598"/>
      <c r="AB3" s="598"/>
      <c r="AC3" s="598"/>
      <c r="AD3" s="598"/>
      <c r="AE3" s="598"/>
      <c r="AF3" s="598"/>
      <c r="AG3" s="598"/>
      <c r="AH3" s="598"/>
      <c r="AI3" s="598"/>
      <c r="AJ3" s="598"/>
      <c r="AK3" s="598"/>
      <c r="AL3" s="598"/>
      <c r="AM3" s="598"/>
      <c r="AN3" s="598"/>
      <c r="AO3" s="598"/>
      <c r="AP3" s="598"/>
      <c r="AQ3" s="598"/>
      <c r="AR3" s="598"/>
      <c r="AS3" s="598"/>
      <c r="AT3" s="599"/>
      <c r="AU3" s="598"/>
      <c r="AV3" s="599"/>
      <c r="AW3" s="598"/>
      <c r="AX3" s="599"/>
      <c r="AY3" s="598"/>
      <c r="AZ3" s="599"/>
      <c r="BA3" s="598"/>
      <c r="BB3" s="599"/>
      <c r="BC3" s="598"/>
      <c r="BD3" s="599"/>
      <c r="BE3" s="598"/>
      <c r="BF3" s="599"/>
      <c r="BG3" s="598"/>
      <c r="BH3" s="599"/>
      <c r="BI3" s="598"/>
      <c r="BJ3" s="599"/>
      <c r="BK3" s="598"/>
      <c r="BL3" s="599"/>
      <c r="BM3" s="598"/>
      <c r="BN3" s="599"/>
      <c r="BO3" s="598"/>
      <c r="BP3" s="599"/>
      <c r="BQ3" s="598"/>
      <c r="BR3" s="599"/>
      <c r="BS3" s="598"/>
      <c r="BT3" s="599"/>
      <c r="BU3" s="598"/>
      <c r="BV3" s="599"/>
      <c r="BW3" s="598"/>
      <c r="BX3" s="599"/>
      <c r="BY3" s="598"/>
      <c r="BZ3" s="599"/>
      <c r="CA3" s="597"/>
      <c r="CB3" s="597"/>
      <c r="CC3" s="598"/>
      <c r="CD3" s="599"/>
      <c r="CE3" s="596"/>
      <c r="CF3" s="596"/>
      <c r="CG3" s="596"/>
      <c r="CH3" s="596"/>
      <c r="CI3" s="596"/>
      <c r="CJ3" s="599"/>
      <c r="CK3" s="596"/>
      <c r="CL3" s="599"/>
      <c r="CM3" s="596"/>
      <c r="CN3" s="596"/>
      <c r="CO3" s="596"/>
      <c r="CP3" s="595"/>
      <c r="CQ3" s="595"/>
      <c r="CR3" s="598"/>
      <c r="CS3" s="599"/>
      <c r="CT3" s="598"/>
      <c r="CU3" s="599"/>
      <c r="CV3" s="598"/>
      <c r="CW3" s="599"/>
      <c r="CX3" s="598"/>
      <c r="CY3" s="599"/>
      <c r="CZ3" s="598"/>
      <c r="DA3" s="599"/>
      <c r="DB3" s="598"/>
      <c r="DC3" s="599"/>
      <c r="DD3" s="598"/>
      <c r="DE3" s="599"/>
      <c r="DF3" s="598"/>
      <c r="DG3" s="599"/>
      <c r="DH3" s="598"/>
      <c r="DI3" s="599"/>
      <c r="DJ3" s="598"/>
      <c r="DK3" s="599"/>
      <c r="DL3" s="598"/>
      <c r="DM3" s="599"/>
      <c r="DN3" s="598"/>
      <c r="DO3" s="599"/>
      <c r="DP3" s="598"/>
      <c r="DQ3" s="599"/>
      <c r="DR3" s="598"/>
      <c r="DS3" s="599"/>
      <c r="DT3" s="598"/>
      <c r="DU3" s="599"/>
      <c r="DV3" s="598"/>
      <c r="DW3" s="599"/>
      <c r="DX3" s="598"/>
      <c r="DY3" s="599"/>
      <c r="DZ3" s="598"/>
      <c r="EA3" s="599"/>
      <c r="EB3" s="598"/>
      <c r="EC3" s="599"/>
      <c r="ED3" s="598"/>
      <c r="EE3" s="599"/>
      <c r="EF3" s="597"/>
      <c r="EG3" s="597"/>
      <c r="EH3" s="598"/>
      <c r="EI3" s="599"/>
      <c r="EJ3" s="596"/>
      <c r="EK3" s="596"/>
      <c r="EL3" s="596"/>
      <c r="EM3" s="596"/>
      <c r="EN3" s="596"/>
      <c r="EO3" s="599"/>
      <c r="EP3" s="596"/>
      <c r="EQ3" s="599"/>
      <c r="ER3" s="596"/>
      <c r="ES3" s="596"/>
      <c r="ET3" s="596"/>
      <c r="EU3" s="595"/>
      <c r="EV3" s="595"/>
      <c r="EW3" s="598"/>
      <c r="EX3" s="599"/>
      <c r="EY3" s="598"/>
      <c r="EZ3" s="599"/>
      <c r="FA3" s="598"/>
      <c r="FB3" s="599"/>
      <c r="FC3" s="598"/>
      <c r="FD3" s="599"/>
      <c r="FE3" s="598"/>
      <c r="FF3" s="599"/>
      <c r="FG3" s="598"/>
      <c r="FH3" s="599"/>
      <c r="FI3" s="598"/>
      <c r="FJ3" s="599"/>
      <c r="FK3" s="598"/>
      <c r="FL3" s="599"/>
      <c r="FM3" s="598"/>
      <c r="FN3" s="599"/>
      <c r="FO3" s="598"/>
      <c r="FP3" s="599"/>
      <c r="FQ3" s="598"/>
      <c r="FR3" s="599"/>
      <c r="FS3" s="598"/>
      <c r="FT3" s="599"/>
      <c r="FU3" s="598"/>
      <c r="FV3" s="599"/>
      <c r="FW3" s="598"/>
      <c r="FX3" s="599"/>
      <c r="FY3" s="598"/>
      <c r="FZ3" s="599"/>
      <c r="GA3" s="598"/>
      <c r="GB3" s="599"/>
      <c r="GC3" s="598"/>
      <c r="GD3" s="599"/>
      <c r="GE3" s="598"/>
      <c r="GF3" s="599"/>
      <c r="GG3" s="598"/>
      <c r="GH3" s="599"/>
      <c r="GI3" s="598"/>
      <c r="GJ3" s="599"/>
      <c r="GK3" s="597"/>
      <c r="GL3" s="597"/>
      <c r="GM3" s="598"/>
      <c r="GN3" s="599"/>
      <c r="GO3" s="596"/>
      <c r="GP3" s="596"/>
      <c r="GQ3" s="596"/>
      <c r="GR3" s="596"/>
      <c r="GS3" s="596"/>
      <c r="GT3" s="599"/>
      <c r="GU3" s="596"/>
      <c r="GV3" s="599"/>
      <c r="GW3" s="596"/>
      <c r="GX3" s="596"/>
      <c r="GY3" s="596"/>
      <c r="GZ3" s="595"/>
      <c r="HA3" s="595"/>
      <c r="HB3" s="598"/>
      <c r="HC3" s="599"/>
      <c r="HD3" s="598"/>
      <c r="HE3" s="599"/>
      <c r="HF3" s="598"/>
      <c r="HG3" s="599"/>
      <c r="HH3" s="598"/>
      <c r="HI3" s="599"/>
      <c r="HJ3" s="598"/>
      <c r="HK3" s="599"/>
    </row>
    <row r="4" spans="1:219" s="600" customFormat="1" ht="15" customHeight="1" x14ac:dyDescent="0.2">
      <c r="A4" s="601"/>
      <c r="B4" s="602"/>
      <c r="C4" s="602"/>
      <c r="D4" s="602"/>
      <c r="E4" s="602"/>
      <c r="F4" s="603"/>
      <c r="G4" s="604"/>
      <c r="H4" s="602"/>
      <c r="I4" s="602"/>
      <c r="J4" s="604"/>
      <c r="K4" s="604"/>
      <c r="L4" s="604"/>
      <c r="M4" s="604"/>
      <c r="N4" s="604"/>
      <c r="O4" s="604"/>
      <c r="P4" s="604"/>
      <c r="Q4" s="604"/>
      <c r="R4" s="604"/>
      <c r="S4" s="604"/>
      <c r="T4" s="604"/>
      <c r="U4" s="604"/>
      <c r="V4" s="604"/>
      <c r="W4" s="604"/>
      <c r="X4" s="604"/>
      <c r="Y4" s="604"/>
      <c r="Z4" s="604"/>
      <c r="AA4" s="604"/>
      <c r="AB4" s="604"/>
      <c r="AC4" s="604"/>
      <c r="AD4" s="604"/>
      <c r="AE4" s="604"/>
      <c r="AF4" s="604"/>
      <c r="AG4" s="604"/>
      <c r="AH4" s="604"/>
      <c r="AI4" s="605"/>
      <c r="AJ4" s="605"/>
      <c r="AK4" s="605"/>
      <c r="AL4" s="150"/>
      <c r="AM4" s="150"/>
      <c r="AN4" s="150"/>
      <c r="AO4" s="150"/>
      <c r="AP4" s="150"/>
      <c r="AQ4" s="150"/>
      <c r="AR4" s="150"/>
      <c r="AS4" s="150"/>
    </row>
    <row r="5" spans="1:219" s="624" customFormat="1" ht="15" customHeight="1" thickBot="1" x14ac:dyDescent="0.25">
      <c r="A5" s="707" t="s">
        <v>657</v>
      </c>
      <c r="B5" s="625"/>
      <c r="C5" s="626"/>
      <c r="D5" s="626"/>
      <c r="E5" s="626"/>
      <c r="F5" s="626"/>
      <c r="G5" s="625"/>
      <c r="H5" s="626"/>
      <c r="I5" s="626"/>
      <c r="J5" s="626"/>
      <c r="K5" s="626"/>
      <c r="L5" s="625"/>
    </row>
    <row r="6" spans="1:219" s="616" customFormat="1" ht="15" customHeight="1" thickTop="1" x14ac:dyDescent="0.2">
      <c r="A6" s="607"/>
      <c r="B6" s="607"/>
      <c r="C6" s="607"/>
      <c r="D6" s="607"/>
      <c r="E6" s="607"/>
      <c r="F6" s="607"/>
      <c r="G6" s="400"/>
      <c r="H6" s="607"/>
      <c r="I6" s="607"/>
      <c r="J6" s="607"/>
      <c r="K6" s="607"/>
      <c r="L6" s="400" t="s">
        <v>662</v>
      </c>
    </row>
    <row r="7" spans="1:219" s="628" customFormat="1" ht="15" customHeight="1" x14ac:dyDescent="0.2">
      <c r="A7" s="627"/>
      <c r="B7" s="612" t="s">
        <v>447</v>
      </c>
      <c r="C7" s="612" t="s">
        <v>436</v>
      </c>
      <c r="D7" s="612" t="s">
        <v>437</v>
      </c>
      <c r="E7" s="612" t="s">
        <v>438</v>
      </c>
      <c r="F7" s="612" t="s">
        <v>450</v>
      </c>
      <c r="G7" s="612" t="s">
        <v>448</v>
      </c>
      <c r="H7" s="612" t="s">
        <v>451</v>
      </c>
      <c r="I7" s="612" t="s">
        <v>452</v>
      </c>
      <c r="J7" s="612" t="s">
        <v>453</v>
      </c>
      <c r="K7" s="612" t="s">
        <v>454</v>
      </c>
      <c r="L7" s="612" t="s">
        <v>449</v>
      </c>
    </row>
    <row r="8" spans="1:219" s="605" customFormat="1" ht="9.9499999999999993" customHeight="1" x14ac:dyDescent="0.2">
      <c r="A8" s="629"/>
      <c r="B8" s="613"/>
      <c r="C8" s="613"/>
      <c r="D8" s="613"/>
      <c r="E8" s="613"/>
      <c r="F8" s="613"/>
      <c r="G8" s="613"/>
      <c r="H8" s="613"/>
      <c r="I8" s="613"/>
      <c r="J8" s="613"/>
      <c r="K8" s="613"/>
      <c r="L8" s="613"/>
    </row>
    <row r="9" spans="1:219" s="616" customFormat="1" ht="5.0999999999999996" customHeight="1" x14ac:dyDescent="0.2">
      <c r="A9" s="614"/>
      <c r="B9" s="614"/>
      <c r="C9" s="614"/>
      <c r="D9" s="614"/>
      <c r="E9" s="614"/>
      <c r="F9" s="614"/>
      <c r="G9" s="614"/>
      <c r="H9" s="614"/>
      <c r="I9" s="614"/>
      <c r="J9" s="614"/>
      <c r="K9" s="614"/>
      <c r="L9" s="614"/>
    </row>
    <row r="10" spans="1:219" s="616" customFormat="1" ht="15" customHeight="1" x14ac:dyDescent="0.2">
      <c r="A10" s="229" t="s">
        <v>598</v>
      </c>
      <c r="B10" s="568">
        <f>47761-6</f>
        <v>47755</v>
      </c>
      <c r="C10" s="160">
        <f>20720+1</f>
        <v>20721</v>
      </c>
      <c r="D10" s="160">
        <f>41883-C10</f>
        <v>21162</v>
      </c>
      <c r="E10" s="160">
        <f>60324-D10-C10</f>
        <v>18441</v>
      </c>
      <c r="F10" s="160">
        <f>G10-E10-D10-C10</f>
        <v>17180</v>
      </c>
      <c r="G10" s="568">
        <v>77504</v>
      </c>
      <c r="H10" s="160">
        <v>18947</v>
      </c>
      <c r="I10" s="160">
        <f>34940-H10</f>
        <v>15993</v>
      </c>
      <c r="J10" s="160">
        <v>18831</v>
      </c>
      <c r="K10" s="219">
        <v>15434</v>
      </c>
      <c r="L10" s="219">
        <f>H10+I10+J10+K10</f>
        <v>69205</v>
      </c>
    </row>
    <row r="11" spans="1:219" ht="5.0999999999999996" customHeight="1" x14ac:dyDescent="0.2">
      <c r="A11" s="632"/>
      <c r="B11" s="569"/>
      <c r="C11" s="128"/>
      <c r="D11" s="128"/>
      <c r="E11" s="128"/>
      <c r="F11" s="128"/>
      <c r="G11" s="569"/>
      <c r="H11" s="128"/>
      <c r="I11" s="128"/>
      <c r="J11" s="128"/>
      <c r="K11" s="705"/>
      <c r="L11" s="705"/>
    </row>
    <row r="12" spans="1:219" s="616" customFormat="1" ht="15" customHeight="1" x14ac:dyDescent="0.2">
      <c r="A12" s="468" t="s">
        <v>197</v>
      </c>
      <c r="B12" s="570">
        <v>20611</v>
      </c>
      <c r="C12" s="165">
        <v>5884</v>
      </c>
      <c r="D12" s="165">
        <f>10499-C12</f>
        <v>4615</v>
      </c>
      <c r="E12" s="165">
        <f>17968-D12-C12</f>
        <v>7469</v>
      </c>
      <c r="F12" s="160">
        <f>G12-E12-D12-C12</f>
        <v>6198</v>
      </c>
      <c r="G12" s="570">
        <v>24166</v>
      </c>
      <c r="H12" s="165">
        <v>8281</v>
      </c>
      <c r="I12" s="165">
        <f>14791-H12</f>
        <v>6510</v>
      </c>
      <c r="J12" s="165">
        <f>4927-1</f>
        <v>4926</v>
      </c>
      <c r="K12" s="220">
        <v>5367</v>
      </c>
      <c r="L12" s="220">
        <f t="shared" ref="L12:L39" si="0">H12+I12+J12+K12</f>
        <v>25084</v>
      </c>
    </row>
    <row r="13" spans="1:219" ht="5.0999999999999996" customHeight="1" x14ac:dyDescent="0.2">
      <c r="A13" s="632"/>
      <c r="B13" s="569"/>
      <c r="C13" s="128"/>
      <c r="D13" s="128"/>
      <c r="E13" s="128"/>
      <c r="F13" s="128"/>
      <c r="G13" s="569"/>
      <c r="H13" s="128"/>
      <c r="I13" s="128"/>
      <c r="J13" s="128"/>
      <c r="K13" s="705"/>
      <c r="L13" s="705"/>
    </row>
    <row r="14" spans="1:219" s="616" customFormat="1" ht="15" customHeight="1" x14ac:dyDescent="0.2">
      <c r="A14" s="469" t="s">
        <v>198</v>
      </c>
      <c r="B14" s="568">
        <f t="shared" ref="B14:C14" si="1">B10-B12</f>
        <v>27144</v>
      </c>
      <c r="C14" s="160">
        <f t="shared" si="1"/>
        <v>14837</v>
      </c>
      <c r="D14" s="160">
        <f>D10-D12</f>
        <v>16547</v>
      </c>
      <c r="E14" s="160">
        <f>E10-E12</f>
        <v>10972</v>
      </c>
      <c r="F14" s="160">
        <f>F10-F12</f>
        <v>10982</v>
      </c>
      <c r="G14" s="568">
        <f>G10-G12</f>
        <v>53338</v>
      </c>
      <c r="H14" s="160">
        <f t="shared" ref="H14:K14" si="2">H10-H12</f>
        <v>10666</v>
      </c>
      <c r="I14" s="160">
        <f>I10-I12</f>
        <v>9483</v>
      </c>
      <c r="J14" s="160">
        <f t="shared" si="2"/>
        <v>13905</v>
      </c>
      <c r="K14" s="219">
        <f t="shared" si="2"/>
        <v>10067</v>
      </c>
      <c r="L14" s="219">
        <f t="shared" si="0"/>
        <v>44121</v>
      </c>
    </row>
    <row r="15" spans="1:219" ht="5.0999999999999996" customHeight="1" x14ac:dyDescent="0.2">
      <c r="A15" s="633"/>
      <c r="B15" s="569"/>
      <c r="C15" s="128"/>
      <c r="D15" s="128"/>
      <c r="E15" s="128"/>
      <c r="F15" s="128"/>
      <c r="G15" s="569"/>
      <c r="H15" s="128"/>
      <c r="I15" s="128"/>
      <c r="J15" s="128"/>
      <c r="K15" s="705"/>
      <c r="L15" s="705"/>
    </row>
    <row r="16" spans="1:219" s="616" customFormat="1" ht="15" customHeight="1" x14ac:dyDescent="0.2">
      <c r="A16" s="469" t="s">
        <v>199</v>
      </c>
      <c r="B16" s="568">
        <f>SUM(B18:B29)</f>
        <v>-17519</v>
      </c>
      <c r="C16" s="160">
        <f>SUM(C18:C29)</f>
        <v>-4598</v>
      </c>
      <c r="D16" s="160">
        <f>SUM(D18:D29)</f>
        <v>-6864</v>
      </c>
      <c r="E16" s="160">
        <f>SUM(E18:E29)</f>
        <v>-7144</v>
      </c>
      <c r="F16" s="160">
        <f>SUM(F18:F29)</f>
        <v>-6754</v>
      </c>
      <c r="G16" s="568">
        <f>SUM(C16:F16)</f>
        <v>-25360</v>
      </c>
      <c r="H16" s="160">
        <f>SUM(H18:H29)</f>
        <v>-3609</v>
      </c>
      <c r="I16" s="160">
        <f>SUM(I18:I29)</f>
        <v>-5599</v>
      </c>
      <c r="J16" s="160">
        <f>SUM(J18:J29)</f>
        <v>-8146</v>
      </c>
      <c r="K16" s="219">
        <f>SUM(K18:K29)</f>
        <v>-6264</v>
      </c>
      <c r="L16" s="219">
        <f t="shared" si="0"/>
        <v>-23618</v>
      </c>
    </row>
    <row r="17" spans="1:12" ht="5.0999999999999996" customHeight="1" x14ac:dyDescent="0.2">
      <c r="A17" s="632"/>
      <c r="B17" s="569"/>
      <c r="C17" s="128"/>
      <c r="D17" s="128"/>
      <c r="E17" s="128"/>
      <c r="F17" s="128"/>
      <c r="G17" s="569"/>
      <c r="H17" s="128"/>
      <c r="I17" s="128"/>
      <c r="J17" s="128"/>
      <c r="K17" s="705"/>
      <c r="L17" s="705"/>
    </row>
    <row r="18" spans="1:12" s="616" customFormat="1" ht="15" customHeight="1" x14ac:dyDescent="0.2">
      <c r="A18" s="468" t="s">
        <v>154</v>
      </c>
      <c r="B18" s="570">
        <v>19301</v>
      </c>
      <c r="C18" s="165">
        <v>4913</v>
      </c>
      <c r="D18" s="165">
        <v>5057</v>
      </c>
      <c r="E18" s="165">
        <v>5759</v>
      </c>
      <c r="F18" s="165">
        <f>5898-50</f>
        <v>5848</v>
      </c>
      <c r="G18" s="570">
        <f t="shared" ref="G18:G39" si="3">SUM(C18:F18)</f>
        <v>21577</v>
      </c>
      <c r="H18" s="165">
        <v>5789</v>
      </c>
      <c r="I18" s="165">
        <v>5867</v>
      </c>
      <c r="J18" s="165">
        <v>6116</v>
      </c>
      <c r="K18" s="220">
        <v>6256</v>
      </c>
      <c r="L18" s="220">
        <f t="shared" si="0"/>
        <v>24028</v>
      </c>
    </row>
    <row r="19" spans="1:12" s="616" customFormat="1" ht="15" customHeight="1" x14ac:dyDescent="0.2">
      <c r="A19" s="595" t="s">
        <v>381</v>
      </c>
      <c r="B19" s="570">
        <v>64268</v>
      </c>
      <c r="C19" s="165">
        <v>15112</v>
      </c>
      <c r="D19" s="165">
        <v>17179</v>
      </c>
      <c r="E19" s="165">
        <v>17423</v>
      </c>
      <c r="F19" s="165">
        <v>21176</v>
      </c>
      <c r="G19" s="570">
        <f t="shared" si="3"/>
        <v>70890</v>
      </c>
      <c r="H19" s="165">
        <v>17895</v>
      </c>
      <c r="I19" s="165">
        <v>18426</v>
      </c>
      <c r="J19" s="165">
        <v>18618</v>
      </c>
      <c r="K19" s="220">
        <v>21159</v>
      </c>
      <c r="L19" s="220">
        <f t="shared" si="0"/>
        <v>76098</v>
      </c>
    </row>
    <row r="20" spans="1:12" s="616" customFormat="1" ht="15" customHeight="1" x14ac:dyDescent="0.2">
      <c r="A20" s="595" t="s">
        <v>382</v>
      </c>
      <c r="B20" s="570">
        <v>-28279</v>
      </c>
      <c r="C20" s="165">
        <v>-5789</v>
      </c>
      <c r="D20" s="165">
        <v>-7765</v>
      </c>
      <c r="E20" s="165">
        <v>-8220</v>
      </c>
      <c r="F20" s="165">
        <v>-11015</v>
      </c>
      <c r="G20" s="570">
        <f t="shared" si="3"/>
        <v>-32789</v>
      </c>
      <c r="H20" s="165">
        <v>-7738</v>
      </c>
      <c r="I20" s="165">
        <v>-7845</v>
      </c>
      <c r="J20" s="165">
        <v>-8247</v>
      </c>
      <c r="K20" s="220">
        <v>-10981</v>
      </c>
      <c r="L20" s="220">
        <f t="shared" si="0"/>
        <v>-34811</v>
      </c>
    </row>
    <row r="21" spans="1:12" s="616" customFormat="1" ht="15" customHeight="1" x14ac:dyDescent="0.2">
      <c r="A21" s="595" t="s">
        <v>155</v>
      </c>
      <c r="B21" s="570">
        <v>-21724</v>
      </c>
      <c r="C21" s="165">
        <v>-5617</v>
      </c>
      <c r="D21" s="165">
        <v>-6176</v>
      </c>
      <c r="E21" s="165">
        <v>-6636</v>
      </c>
      <c r="F21" s="165">
        <v>-6113</v>
      </c>
      <c r="G21" s="570">
        <f t="shared" si="3"/>
        <v>-24542</v>
      </c>
      <c r="H21" s="165">
        <v>-6313</v>
      </c>
      <c r="I21" s="165">
        <v>-6538</v>
      </c>
      <c r="J21" s="165">
        <v>-6559</v>
      </c>
      <c r="K21" s="220">
        <v>-6178</v>
      </c>
      <c r="L21" s="220">
        <f t="shared" si="0"/>
        <v>-25588</v>
      </c>
    </row>
    <row r="22" spans="1:12" s="616" customFormat="1" ht="15" customHeight="1" x14ac:dyDescent="0.2">
      <c r="A22" s="595" t="s">
        <v>383</v>
      </c>
      <c r="B22" s="570">
        <v>-5007</v>
      </c>
      <c r="C22" s="165">
        <v>-1226</v>
      </c>
      <c r="D22" s="165">
        <v>-1302</v>
      </c>
      <c r="E22" s="165">
        <v>-1446</v>
      </c>
      <c r="F22" s="165">
        <v>-1399</v>
      </c>
      <c r="G22" s="570">
        <f t="shared" si="3"/>
        <v>-5373</v>
      </c>
      <c r="H22" s="165">
        <v>-1300</v>
      </c>
      <c r="I22" s="165">
        <v>-1409</v>
      </c>
      <c r="J22" s="165">
        <v>-1429</v>
      </c>
      <c r="K22" s="220">
        <v>-1321</v>
      </c>
      <c r="L22" s="220">
        <f t="shared" si="0"/>
        <v>-5459</v>
      </c>
    </row>
    <row r="23" spans="1:12" s="616" customFormat="1" ht="15" customHeight="1" x14ac:dyDescent="0.2">
      <c r="A23" s="595" t="s">
        <v>384</v>
      </c>
      <c r="B23" s="570">
        <v>-3307</v>
      </c>
      <c r="C23" s="165">
        <v>-856</v>
      </c>
      <c r="D23" s="165">
        <v>-852</v>
      </c>
      <c r="E23" s="165">
        <v>-915</v>
      </c>
      <c r="F23" s="165">
        <f>-971-1</f>
        <v>-972</v>
      </c>
      <c r="G23" s="570">
        <f t="shared" si="3"/>
        <v>-3595</v>
      </c>
      <c r="H23" s="165">
        <v>-917</v>
      </c>
      <c r="I23" s="165">
        <v>-852</v>
      </c>
      <c r="J23" s="165">
        <v>-873</v>
      </c>
      <c r="K23" s="220">
        <v>-806</v>
      </c>
      <c r="L23" s="220">
        <f t="shared" si="0"/>
        <v>-3448</v>
      </c>
    </row>
    <row r="24" spans="1:12" s="616" customFormat="1" ht="15" customHeight="1" x14ac:dyDescent="0.2">
      <c r="A24" s="468" t="s">
        <v>152</v>
      </c>
      <c r="B24" s="570">
        <v>-14329</v>
      </c>
      <c r="C24" s="165">
        <v>-3583</v>
      </c>
      <c r="D24" s="165">
        <v>-3709</v>
      </c>
      <c r="E24" s="165">
        <v>-5097</v>
      </c>
      <c r="F24" s="165">
        <f>-4883+1</f>
        <v>-4882</v>
      </c>
      <c r="G24" s="570">
        <f t="shared" si="3"/>
        <v>-17271</v>
      </c>
      <c r="H24" s="165">
        <v>-4636</v>
      </c>
      <c r="I24" s="165">
        <v>-4785</v>
      </c>
      <c r="J24" s="165">
        <v>-6950</v>
      </c>
      <c r="K24" s="220">
        <v>-4639</v>
      </c>
      <c r="L24" s="220">
        <f t="shared" si="0"/>
        <v>-21010</v>
      </c>
    </row>
    <row r="25" spans="1:12" s="616" customFormat="1" ht="15" customHeight="1" x14ac:dyDescent="0.2">
      <c r="A25" s="468" t="s">
        <v>153</v>
      </c>
      <c r="B25" s="570">
        <v>-15642</v>
      </c>
      <c r="C25" s="165">
        <v>-3904</v>
      </c>
      <c r="D25" s="165">
        <v>-4085</v>
      </c>
      <c r="E25" s="165">
        <v>-5181</v>
      </c>
      <c r="F25" s="165">
        <f>-5174-1</f>
        <v>-5175</v>
      </c>
      <c r="G25" s="570">
        <f t="shared" si="3"/>
        <v>-18345</v>
      </c>
      <c r="H25" s="165">
        <v>-4646</v>
      </c>
      <c r="I25" s="165">
        <v>-4694</v>
      </c>
      <c r="J25" s="165">
        <v>-4859</v>
      </c>
      <c r="K25" s="220">
        <v>-5077</v>
      </c>
      <c r="L25" s="220">
        <f t="shared" si="0"/>
        <v>-19276</v>
      </c>
    </row>
    <row r="26" spans="1:12" s="616" customFormat="1" ht="15" customHeight="1" x14ac:dyDescent="0.2">
      <c r="A26" s="595" t="s">
        <v>200</v>
      </c>
      <c r="B26" s="570">
        <v>-4792</v>
      </c>
      <c r="C26" s="165">
        <v>-1705</v>
      </c>
      <c r="D26" s="165">
        <v>-1644</v>
      </c>
      <c r="E26" s="165">
        <v>-1428</v>
      </c>
      <c r="F26" s="165">
        <v>-1555</v>
      </c>
      <c r="G26" s="570">
        <f t="shared" si="3"/>
        <v>-6332</v>
      </c>
      <c r="H26" s="165">
        <v>-1651</v>
      </c>
      <c r="I26" s="165">
        <v>-1266</v>
      </c>
      <c r="J26" s="165">
        <v>-1668</v>
      </c>
      <c r="K26" s="220">
        <v>-1376</v>
      </c>
      <c r="L26" s="220">
        <f t="shared" si="0"/>
        <v>-5961</v>
      </c>
    </row>
    <row r="27" spans="1:12" s="616" customFormat="1" ht="15" customHeight="1" x14ac:dyDescent="0.2">
      <c r="A27" s="595" t="s">
        <v>201</v>
      </c>
      <c r="B27" s="570">
        <v>1486</v>
      </c>
      <c r="C27" s="165">
        <v>406</v>
      </c>
      <c r="D27" s="165">
        <v>379</v>
      </c>
      <c r="E27" s="165">
        <v>477</v>
      </c>
      <c r="F27" s="165">
        <v>403</v>
      </c>
      <c r="G27" s="570">
        <f t="shared" si="3"/>
        <v>1665</v>
      </c>
      <c r="H27" s="165">
        <v>429</v>
      </c>
      <c r="I27" s="165">
        <v>266</v>
      </c>
      <c r="J27" s="165">
        <v>440</v>
      </c>
      <c r="K27" s="220">
        <v>370</v>
      </c>
      <c r="L27" s="220">
        <f t="shared" si="0"/>
        <v>1505</v>
      </c>
    </row>
    <row r="28" spans="1:12" s="616" customFormat="1" ht="15" customHeight="1" x14ac:dyDescent="0.2">
      <c r="A28" s="595" t="s">
        <v>157</v>
      </c>
      <c r="B28" s="570">
        <v>3547</v>
      </c>
      <c r="C28" s="165">
        <v>1447</v>
      </c>
      <c r="D28" s="165">
        <v>1454</v>
      </c>
      <c r="E28" s="165">
        <v>1558</v>
      </c>
      <c r="F28" s="165">
        <v>1268</v>
      </c>
      <c r="G28" s="570">
        <f t="shared" si="3"/>
        <v>5727</v>
      </c>
      <c r="H28" s="165">
        <v>4603</v>
      </c>
      <c r="I28" s="165">
        <v>1742</v>
      </c>
      <c r="J28" s="165">
        <v>2490</v>
      </c>
      <c r="K28" s="220">
        <v>1342</v>
      </c>
      <c r="L28" s="220">
        <f t="shared" si="0"/>
        <v>10177</v>
      </c>
    </row>
    <row r="29" spans="1:12" s="616" customFormat="1" ht="15" customHeight="1" x14ac:dyDescent="0.2">
      <c r="A29" s="595" t="s">
        <v>156</v>
      </c>
      <c r="B29" s="570">
        <v>-13041</v>
      </c>
      <c r="C29" s="165">
        <v>-3796</v>
      </c>
      <c r="D29" s="165">
        <v>-5400</v>
      </c>
      <c r="E29" s="165">
        <v>-3438</v>
      </c>
      <c r="F29" s="165">
        <f>-4337-1</f>
        <v>-4338</v>
      </c>
      <c r="G29" s="570">
        <f t="shared" si="3"/>
        <v>-16972</v>
      </c>
      <c r="H29" s="165">
        <v>-5124</v>
      </c>
      <c r="I29" s="165">
        <v>-4511</v>
      </c>
      <c r="J29" s="165">
        <v>-5225</v>
      </c>
      <c r="K29" s="220">
        <v>-5013</v>
      </c>
      <c r="L29" s="220">
        <f t="shared" si="0"/>
        <v>-19873</v>
      </c>
    </row>
    <row r="30" spans="1:12" ht="5.0999999999999996" customHeight="1" x14ac:dyDescent="0.2">
      <c r="A30" s="632"/>
      <c r="B30" s="569"/>
      <c r="C30" s="128"/>
      <c r="D30" s="128"/>
      <c r="E30" s="128"/>
      <c r="F30" s="128"/>
      <c r="G30" s="569"/>
      <c r="H30" s="128"/>
      <c r="I30" s="128"/>
      <c r="J30" s="128"/>
      <c r="K30" s="705"/>
      <c r="L30" s="705"/>
    </row>
    <row r="31" spans="1:12" s="616" customFormat="1" ht="15" customHeight="1" x14ac:dyDescent="0.2">
      <c r="A31" s="469" t="s">
        <v>202</v>
      </c>
      <c r="B31" s="568">
        <f>B14+B16</f>
        <v>9625</v>
      </c>
      <c r="C31" s="160">
        <f>C14+C16</f>
        <v>10239</v>
      </c>
      <c r="D31" s="160">
        <f>D14+D16</f>
        <v>9683</v>
      </c>
      <c r="E31" s="160">
        <f>E14+E16</f>
        <v>3828</v>
      </c>
      <c r="F31" s="160">
        <f>G31-E31-D31-C31</f>
        <v>4231</v>
      </c>
      <c r="G31" s="568">
        <v>27981</v>
      </c>
      <c r="H31" s="160">
        <f>H14+H16</f>
        <v>7057</v>
      </c>
      <c r="I31" s="160">
        <f>I14+I16</f>
        <v>3884</v>
      </c>
      <c r="J31" s="160">
        <f>J14+J16</f>
        <v>5759</v>
      </c>
      <c r="K31" s="219">
        <f>K14+K16</f>
        <v>3803</v>
      </c>
      <c r="L31" s="219">
        <f t="shared" si="0"/>
        <v>20503</v>
      </c>
    </row>
    <row r="32" spans="1:12" s="616" customFormat="1" ht="5.0999999999999996" customHeight="1" x14ac:dyDescent="0.2">
      <c r="A32" s="601"/>
      <c r="B32" s="568"/>
      <c r="C32" s="160"/>
      <c r="D32" s="160"/>
      <c r="E32" s="160"/>
      <c r="F32" s="160"/>
      <c r="G32" s="568"/>
      <c r="H32" s="160"/>
      <c r="I32" s="160"/>
      <c r="J32" s="160"/>
      <c r="K32" s="219"/>
      <c r="L32" s="219"/>
    </row>
    <row r="33" spans="1:12" s="616" customFormat="1" ht="15" customHeight="1" x14ac:dyDescent="0.2">
      <c r="A33" s="469" t="s">
        <v>203</v>
      </c>
      <c r="B33" s="568">
        <v>-512</v>
      </c>
      <c r="C33" s="160">
        <v>96</v>
      </c>
      <c r="D33" s="160">
        <v>-112</v>
      </c>
      <c r="E33" s="160">
        <f>-371-1</f>
        <v>-372</v>
      </c>
      <c r="F33" s="160">
        <v>-433</v>
      </c>
      <c r="G33" s="568">
        <f>SUM(C33:F33)</f>
        <v>-821</v>
      </c>
      <c r="H33" s="160">
        <v>-133</v>
      </c>
      <c r="I33" s="160">
        <v>-160</v>
      </c>
      <c r="J33" s="160">
        <v>61</v>
      </c>
      <c r="K33" s="219">
        <v>-243</v>
      </c>
      <c r="L33" s="219">
        <f t="shared" si="0"/>
        <v>-475</v>
      </c>
    </row>
    <row r="34" spans="1:12" s="616" customFormat="1" ht="5.0999999999999996" customHeight="1" x14ac:dyDescent="0.2">
      <c r="A34" s="601"/>
      <c r="B34" s="568"/>
      <c r="C34" s="160"/>
      <c r="D34" s="160"/>
      <c r="E34" s="160"/>
      <c r="F34" s="160"/>
      <c r="G34" s="568"/>
      <c r="H34" s="160"/>
      <c r="I34" s="160"/>
      <c r="J34" s="160"/>
      <c r="K34" s="219"/>
      <c r="L34" s="219"/>
    </row>
    <row r="35" spans="1:12" s="616" customFormat="1" ht="15" customHeight="1" x14ac:dyDescent="0.2">
      <c r="A35" s="469" t="s">
        <v>204</v>
      </c>
      <c r="B35" s="568">
        <f t="shared" ref="B35" si="4">B31+B33</f>
        <v>9113</v>
      </c>
      <c r="C35" s="160">
        <f>C31+C33</f>
        <v>10335</v>
      </c>
      <c r="D35" s="160">
        <f>D31+D33</f>
        <v>9571</v>
      </c>
      <c r="E35" s="160">
        <f>E31+E33</f>
        <v>3456</v>
      </c>
      <c r="F35" s="160">
        <f>F31+F33</f>
        <v>3798</v>
      </c>
      <c r="G35" s="568">
        <f>SUM(C35:F35)</f>
        <v>27160</v>
      </c>
      <c r="H35" s="160">
        <f t="shared" ref="H35:I35" si="5">H31+H33</f>
        <v>6924</v>
      </c>
      <c r="I35" s="160">
        <f t="shared" si="5"/>
        <v>3724</v>
      </c>
      <c r="J35" s="160">
        <f>5818+1</f>
        <v>5819</v>
      </c>
      <c r="K35" s="219">
        <v>3562</v>
      </c>
      <c r="L35" s="219">
        <f t="shared" si="0"/>
        <v>20029</v>
      </c>
    </row>
    <row r="36" spans="1:12" s="616" customFormat="1" ht="5.0999999999999996" customHeight="1" x14ac:dyDescent="0.2">
      <c r="A36" s="601"/>
      <c r="B36" s="568"/>
      <c r="C36" s="160"/>
      <c r="D36" s="160"/>
      <c r="E36" s="160"/>
      <c r="F36" s="160"/>
      <c r="G36" s="568"/>
      <c r="H36" s="160"/>
      <c r="I36" s="160"/>
      <c r="J36" s="160"/>
      <c r="K36" s="219"/>
      <c r="L36" s="219"/>
    </row>
    <row r="37" spans="1:12" s="616" customFormat="1" ht="15" customHeight="1" x14ac:dyDescent="0.2">
      <c r="A37" s="469" t="s">
        <v>205</v>
      </c>
      <c r="B37" s="568">
        <v>8183</v>
      </c>
      <c r="C37" s="160">
        <v>-6178</v>
      </c>
      <c r="D37" s="160">
        <v>-5412</v>
      </c>
      <c r="E37" s="160">
        <v>-205</v>
      </c>
      <c r="F37" s="160">
        <v>-180</v>
      </c>
      <c r="G37" s="568">
        <f t="shared" si="3"/>
        <v>-11975</v>
      </c>
      <c r="H37" s="160">
        <v>-2817</v>
      </c>
      <c r="I37" s="160">
        <v>214</v>
      </c>
      <c r="J37" s="160">
        <v>-2804</v>
      </c>
      <c r="K37" s="219">
        <v>263</v>
      </c>
      <c r="L37" s="219">
        <f t="shared" si="0"/>
        <v>-5144</v>
      </c>
    </row>
    <row r="38" spans="1:12" s="616" customFormat="1" ht="5.0999999999999996" customHeight="1" x14ac:dyDescent="0.2">
      <c r="A38" s="601"/>
      <c r="B38" s="568"/>
      <c r="C38" s="160"/>
      <c r="D38" s="160"/>
      <c r="E38" s="160"/>
      <c r="F38" s="160"/>
      <c r="G38" s="568"/>
      <c r="H38" s="160"/>
      <c r="I38" s="160"/>
      <c r="J38" s="160"/>
      <c r="K38" s="219"/>
      <c r="L38" s="219"/>
    </row>
    <row r="39" spans="1:12" s="616" customFormat="1" ht="15" customHeight="1" x14ac:dyDescent="0.2">
      <c r="A39" s="469" t="s">
        <v>83</v>
      </c>
      <c r="B39" s="568">
        <v>-106</v>
      </c>
      <c r="C39" s="160">
        <v>-34</v>
      </c>
      <c r="D39" s="160">
        <v>-26</v>
      </c>
      <c r="E39" s="160">
        <v>-14</v>
      </c>
      <c r="F39" s="160">
        <v>-27</v>
      </c>
      <c r="G39" s="568">
        <f t="shared" si="3"/>
        <v>-101</v>
      </c>
      <c r="H39" s="160">
        <v>-36</v>
      </c>
      <c r="I39" s="160">
        <v>-27</v>
      </c>
      <c r="J39" s="160">
        <v>-131</v>
      </c>
      <c r="K39" s="219">
        <v>-33</v>
      </c>
      <c r="L39" s="219">
        <f t="shared" si="0"/>
        <v>-227</v>
      </c>
    </row>
    <row r="40" spans="1:12" s="616" customFormat="1" ht="5.0999999999999996" customHeight="1" x14ac:dyDescent="0.2">
      <c r="A40" s="601"/>
      <c r="B40" s="631"/>
      <c r="C40" s="631"/>
      <c r="D40" s="631"/>
      <c r="E40" s="631"/>
      <c r="F40" s="631"/>
      <c r="G40" s="631"/>
      <c r="H40" s="631"/>
      <c r="I40" s="631"/>
      <c r="J40" s="631"/>
      <c r="K40" s="631"/>
      <c r="L40" s="631"/>
    </row>
    <row r="41" spans="1:12" s="605" customFormat="1" ht="15" customHeight="1" thickBot="1" x14ac:dyDescent="0.25">
      <c r="A41" s="175" t="s">
        <v>639</v>
      </c>
      <c r="B41" s="375">
        <f t="shared" ref="B41:C41" si="6">B35+B37+B39</f>
        <v>17190</v>
      </c>
      <c r="C41" s="375">
        <f t="shared" si="6"/>
        <v>4123</v>
      </c>
      <c r="D41" s="375">
        <f>D35+D37+D39</f>
        <v>4133</v>
      </c>
      <c r="E41" s="375">
        <f>E35+E37+E39</f>
        <v>3237</v>
      </c>
      <c r="F41" s="375">
        <f>F35+F37+F39</f>
        <v>3591</v>
      </c>
      <c r="G41" s="375">
        <f t="shared" ref="G41" si="7">SUM(C41:F41)</f>
        <v>15084</v>
      </c>
      <c r="H41" s="375">
        <f t="shared" ref="H41:J41" si="8">H35+H37+H39</f>
        <v>4071</v>
      </c>
      <c r="I41" s="375">
        <f t="shared" si="8"/>
        <v>3911</v>
      </c>
      <c r="J41" s="375">
        <f t="shared" si="8"/>
        <v>2884</v>
      </c>
      <c r="K41" s="375">
        <f>K35+K37+K39</f>
        <v>3792</v>
      </c>
      <c r="L41" s="375">
        <f>L35+L37+L39</f>
        <v>14658</v>
      </c>
    </row>
    <row r="42" spans="1:12" s="635" customFormat="1" ht="15" customHeight="1" thickTop="1" x14ac:dyDescent="0.2">
      <c r="C42" s="636"/>
      <c r="D42" s="636"/>
      <c r="E42" s="636"/>
      <c r="F42" s="636"/>
      <c r="G42" s="637"/>
    </row>
  </sheetData>
  <hyperlinks>
    <hyperlink ref="L6" location="Índex!E9" display="Índex"/>
  </hyperlinks>
  <printOptions horizontalCentered="1"/>
  <pageMargins left="0" right="0" top="0.39370078740157483" bottom="0" header="0" footer="0"/>
  <pageSetup paperSize="9" scale="75" orientation="landscape" horizontalDpi="1200" verticalDpi="1200" r:id="rId1"/>
  <headerFooter alignWithMargins="0">
    <oddHeader>&amp;R&amp;P/&amp;N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3"/>
  <dimension ref="A1:EC132"/>
  <sheetViews>
    <sheetView showGridLines="0" zoomScaleNormal="100" workbookViewId="0">
      <pane xSplit="1" ySplit="10" topLeftCell="DU11" activePane="bottomRight" state="frozen"/>
      <selection activeCell="E9" sqref="E9"/>
      <selection pane="topRight" activeCell="E9" sqref="E9"/>
      <selection pane="bottomLeft" activeCell="E9" sqref="E9"/>
      <selection pane="bottomRight" activeCell="EC6" sqref="EC6"/>
    </sheetView>
  </sheetViews>
  <sheetFormatPr defaultColWidth="10.7109375" defaultRowHeight="15" customHeight="1" x14ac:dyDescent="0.2"/>
  <cols>
    <col min="1" max="1" width="73.7109375" style="1" customWidth="1"/>
    <col min="2" max="3" width="10.7109375" style="82"/>
    <col min="4" max="4" width="10.7109375" style="82" customWidth="1"/>
    <col min="5" max="120" width="10.7109375" style="82"/>
    <col min="121" max="121" width="10.7109375" style="82" customWidth="1"/>
    <col min="122" max="123" width="10.7109375" style="82"/>
    <col min="124" max="124" width="10.7109375" style="82" customWidth="1"/>
    <col min="125" max="126" width="10.7109375" style="82"/>
    <col min="127" max="127" width="10.7109375" style="82" customWidth="1"/>
    <col min="128" max="129" width="10.7109375" style="82"/>
    <col min="130" max="130" width="10.7109375" style="82" customWidth="1"/>
    <col min="131" max="132" width="10.7109375" style="82"/>
    <col min="133" max="133" width="10.7109375" style="82" customWidth="1"/>
    <col min="134" max="16384" width="10.7109375" style="82"/>
  </cols>
  <sheetData>
    <row r="1" spans="1:133" ht="15" customHeight="1" x14ac:dyDescent="0.2">
      <c r="A1" s="436"/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0"/>
      <c r="O1" s="80"/>
      <c r="P1" s="80"/>
      <c r="Q1" s="81"/>
      <c r="R1" s="81"/>
      <c r="S1" s="81"/>
      <c r="T1" s="81"/>
      <c r="U1" s="81"/>
      <c r="V1" s="81"/>
      <c r="W1" s="81"/>
      <c r="X1" s="81"/>
      <c r="Y1" s="81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  <c r="AK1" s="80"/>
      <c r="AL1" s="80"/>
      <c r="AM1" s="80"/>
      <c r="AN1" s="80"/>
      <c r="AO1" s="80"/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  <c r="BM1" s="80"/>
      <c r="BN1" s="80"/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  <c r="CA1" s="80"/>
      <c r="CB1" s="80"/>
      <c r="CC1" s="80"/>
      <c r="CD1" s="80"/>
      <c r="CE1" s="80"/>
      <c r="CF1" s="80"/>
      <c r="CG1" s="80"/>
      <c r="CH1" s="80"/>
      <c r="CI1" s="80"/>
      <c r="CJ1" s="80"/>
      <c r="CK1" s="80"/>
      <c r="CL1" s="80"/>
      <c r="CM1" s="80"/>
      <c r="CN1" s="80"/>
      <c r="CO1" s="80"/>
      <c r="CP1" s="80"/>
      <c r="CQ1" s="80"/>
      <c r="CR1" s="80"/>
      <c r="CS1" s="80"/>
      <c r="CT1" s="80"/>
      <c r="CU1" s="80"/>
      <c r="CV1" s="80"/>
      <c r="CW1" s="80"/>
      <c r="CX1" s="80"/>
      <c r="CY1" s="80"/>
      <c r="CZ1" s="80"/>
      <c r="DA1" s="80"/>
      <c r="DB1" s="80"/>
      <c r="DC1" s="80"/>
      <c r="DD1" s="80"/>
      <c r="DE1" s="80"/>
      <c r="DF1" s="80"/>
      <c r="DG1" s="80"/>
      <c r="DH1" s="80"/>
      <c r="DI1" s="80"/>
      <c r="DJ1" s="80"/>
      <c r="DK1" s="80"/>
    </row>
    <row r="2" spans="1:133" ht="15" customHeight="1" x14ac:dyDescent="0.2">
      <c r="A2" s="437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3"/>
      <c r="AD2" s="81"/>
      <c r="AE2" s="81"/>
      <c r="AF2" s="83"/>
      <c r="AG2" s="81"/>
      <c r="AH2" s="81"/>
      <c r="AI2" s="81"/>
      <c r="AJ2" s="81"/>
      <c r="AK2" s="81"/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81"/>
      <c r="AY2" s="81"/>
      <c r="AZ2" s="81"/>
      <c r="BA2" s="81"/>
      <c r="BB2" s="81"/>
      <c r="BC2" s="81"/>
      <c r="BD2" s="81"/>
      <c r="BE2" s="81"/>
      <c r="BF2" s="81"/>
      <c r="BG2" s="81"/>
      <c r="BH2" s="81"/>
      <c r="BI2" s="81"/>
      <c r="BJ2" s="81"/>
      <c r="BK2" s="81"/>
      <c r="BL2" s="81"/>
      <c r="BM2" s="81"/>
      <c r="BN2" s="81"/>
      <c r="BO2" s="81"/>
      <c r="BP2" s="81"/>
      <c r="BQ2" s="81"/>
      <c r="BR2" s="81"/>
      <c r="BS2" s="81"/>
      <c r="BT2" s="81"/>
      <c r="BU2" s="81"/>
      <c r="BV2" s="81"/>
      <c r="BW2" s="81"/>
      <c r="BX2" s="81"/>
      <c r="BY2" s="81"/>
      <c r="BZ2" s="81"/>
      <c r="CA2" s="81"/>
      <c r="CB2" s="81"/>
      <c r="CC2" s="81"/>
      <c r="CD2" s="81"/>
      <c r="CE2" s="81"/>
      <c r="CF2" s="81"/>
      <c r="CG2" s="81"/>
      <c r="CH2" s="81"/>
      <c r="CI2" s="81"/>
      <c r="CJ2" s="81"/>
      <c r="CK2" s="81"/>
      <c r="CL2" s="81"/>
      <c r="CM2" s="81"/>
      <c r="CN2" s="81"/>
      <c r="CO2" s="81"/>
      <c r="CP2" s="81"/>
      <c r="CQ2" s="81"/>
      <c r="CR2" s="81"/>
      <c r="CS2" s="81"/>
      <c r="CT2" s="81"/>
      <c r="CU2" s="81"/>
      <c r="CV2" s="81"/>
      <c r="CW2" s="81"/>
      <c r="CX2" s="81"/>
      <c r="CY2" s="81"/>
      <c r="CZ2" s="81"/>
      <c r="DA2" s="81"/>
      <c r="DB2" s="81"/>
      <c r="DC2" s="81"/>
      <c r="DD2" s="81"/>
      <c r="DE2" s="81"/>
      <c r="DF2" s="81"/>
      <c r="DG2" s="81"/>
      <c r="DH2" s="81"/>
      <c r="DI2" s="81"/>
      <c r="DJ2" s="81"/>
      <c r="DK2" s="81"/>
    </row>
    <row r="3" spans="1:133" ht="15" customHeight="1" x14ac:dyDescent="0.2">
      <c r="A3" s="438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  <c r="AG3" s="84"/>
      <c r="AH3" s="84"/>
      <c r="AI3" s="84"/>
      <c r="AJ3" s="84"/>
      <c r="AK3" s="84"/>
      <c r="AL3" s="84"/>
      <c r="AM3" s="84"/>
      <c r="AN3" s="84"/>
      <c r="AO3" s="84"/>
      <c r="AP3" s="84"/>
      <c r="AQ3" s="84"/>
      <c r="AR3" s="84"/>
      <c r="AS3" s="84"/>
      <c r="AT3" s="84"/>
      <c r="AU3" s="84"/>
      <c r="AV3" s="84"/>
      <c r="AW3" s="84"/>
      <c r="AX3" s="84"/>
      <c r="AY3" s="84"/>
      <c r="AZ3" s="84"/>
      <c r="BA3" s="84"/>
      <c r="BB3" s="84"/>
      <c r="BC3" s="84"/>
      <c r="BD3" s="84"/>
      <c r="BE3" s="84"/>
      <c r="BF3" s="84"/>
      <c r="BG3" s="84"/>
      <c r="BH3" s="84"/>
      <c r="BI3" s="84"/>
      <c r="BJ3" s="84"/>
      <c r="BK3" s="84"/>
      <c r="BL3" s="84"/>
      <c r="BM3" s="84"/>
      <c r="BN3" s="84"/>
      <c r="BO3" s="84"/>
      <c r="BP3" s="84"/>
      <c r="BQ3" s="84"/>
      <c r="BR3" s="84"/>
      <c r="BS3" s="84"/>
      <c r="BT3" s="84"/>
      <c r="BU3" s="84"/>
      <c r="BV3" s="84"/>
      <c r="BW3" s="84"/>
      <c r="BX3" s="84"/>
      <c r="BY3" s="84"/>
      <c r="BZ3" s="84"/>
      <c r="CA3" s="84"/>
      <c r="CB3" s="84"/>
      <c r="CC3" s="84"/>
      <c r="CD3" s="84"/>
      <c r="CE3" s="84"/>
      <c r="CF3" s="84"/>
      <c r="CG3" s="84"/>
      <c r="CH3" s="84"/>
      <c r="CI3" s="84"/>
      <c r="CJ3" s="84"/>
      <c r="CK3" s="84"/>
      <c r="CL3" s="84"/>
      <c r="CM3" s="84"/>
      <c r="CN3" s="84"/>
      <c r="CO3" s="84"/>
      <c r="CP3" s="84"/>
      <c r="CQ3" s="84"/>
      <c r="CR3" s="84"/>
      <c r="CS3" s="84"/>
      <c r="CT3" s="84"/>
      <c r="CU3" s="84"/>
      <c r="CV3" s="84"/>
      <c r="CW3" s="84"/>
      <c r="CX3" s="84"/>
      <c r="CY3" s="84"/>
      <c r="CZ3" s="84"/>
      <c r="DA3" s="84"/>
      <c r="DB3" s="84"/>
      <c r="DC3" s="84"/>
      <c r="DD3" s="84"/>
      <c r="DE3" s="84"/>
      <c r="DF3" s="84"/>
      <c r="DG3" s="84"/>
      <c r="DH3" s="84"/>
      <c r="DI3" s="84"/>
      <c r="DJ3" s="84"/>
      <c r="DK3" s="84"/>
    </row>
    <row r="4" spans="1:133" ht="15" customHeight="1" x14ac:dyDescent="0.25">
      <c r="A4" s="439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5"/>
      <c r="O4" s="85"/>
      <c r="P4" s="85"/>
      <c r="Q4" s="86"/>
      <c r="R4" s="86"/>
      <c r="S4" s="86"/>
      <c r="T4" s="86"/>
      <c r="U4" s="86"/>
      <c r="V4" s="86"/>
      <c r="W4" s="86"/>
      <c r="X4" s="86"/>
      <c r="Y4" s="86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  <c r="BM4" s="85"/>
      <c r="BN4" s="85"/>
      <c r="BO4" s="85"/>
      <c r="BP4" s="85"/>
      <c r="BQ4" s="85"/>
      <c r="BR4" s="85"/>
      <c r="BS4" s="85"/>
      <c r="BT4" s="85"/>
      <c r="BU4" s="85"/>
      <c r="BV4" s="85"/>
      <c r="BW4" s="85"/>
      <c r="BX4" s="85"/>
      <c r="BY4" s="85"/>
      <c r="BZ4" s="85"/>
      <c r="CA4" s="85"/>
      <c r="CB4" s="85"/>
      <c r="CC4" s="85"/>
      <c r="CD4" s="85"/>
      <c r="CE4" s="85"/>
      <c r="CF4" s="85"/>
      <c r="CG4" s="85"/>
      <c r="CH4" s="85"/>
      <c r="CI4" s="85"/>
      <c r="CJ4" s="85"/>
      <c r="CK4" s="85"/>
      <c r="CL4" s="85"/>
      <c r="CM4" s="85"/>
      <c r="CN4" s="85"/>
      <c r="CO4" s="85"/>
      <c r="CP4" s="85"/>
      <c r="CQ4" s="85"/>
      <c r="CR4" s="85"/>
      <c r="CS4" s="85"/>
      <c r="CU4" s="85"/>
      <c r="CV4" s="85"/>
      <c r="CW4" s="114"/>
      <c r="CX4" s="85"/>
      <c r="CY4" s="85"/>
      <c r="CZ4" s="114"/>
      <c r="DA4" s="85"/>
      <c r="DB4" s="85"/>
      <c r="DD4" s="85"/>
      <c r="DE4" s="85"/>
      <c r="DG4" s="85"/>
      <c r="DH4" s="130"/>
      <c r="DJ4" s="85"/>
      <c r="DN4" s="130"/>
    </row>
    <row r="5" spans="1:133" s="178" customFormat="1" ht="17.100000000000001" customHeight="1" thickBot="1" x14ac:dyDescent="0.25">
      <c r="A5" s="190" t="s">
        <v>599</v>
      </c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180"/>
      <c r="Q5" s="180"/>
      <c r="R5" s="180"/>
      <c r="S5" s="180"/>
      <c r="T5" s="180"/>
      <c r="U5" s="180"/>
      <c r="V5" s="180"/>
      <c r="W5" s="180"/>
      <c r="X5" s="180"/>
      <c r="Y5" s="180"/>
      <c r="Z5" s="180"/>
      <c r="AA5" s="180"/>
      <c r="AB5" s="180"/>
      <c r="AC5" s="180"/>
      <c r="AD5" s="180"/>
      <c r="AE5" s="180"/>
      <c r="AF5" s="180"/>
      <c r="AG5" s="180"/>
      <c r="AH5" s="180"/>
      <c r="AI5" s="180"/>
      <c r="AJ5" s="180"/>
      <c r="AK5" s="180"/>
      <c r="AL5" s="181"/>
      <c r="AM5" s="181"/>
      <c r="AN5" s="181"/>
      <c r="AO5" s="181"/>
    </row>
    <row r="6" spans="1:133" s="178" customFormat="1" ht="17.100000000000001" customHeight="1" thickTop="1" x14ac:dyDescent="0.2">
      <c r="A6" s="440"/>
      <c r="B6" s="180"/>
      <c r="C6" s="180"/>
      <c r="D6" s="180"/>
      <c r="E6" s="180"/>
      <c r="F6" s="180"/>
      <c r="G6" s="180"/>
      <c r="H6" s="180"/>
      <c r="I6" s="180"/>
      <c r="J6" s="180"/>
      <c r="K6" s="180"/>
      <c r="L6" s="180"/>
      <c r="M6" s="180"/>
      <c r="N6" s="180"/>
      <c r="O6" s="180"/>
      <c r="P6" s="180"/>
      <c r="Q6" s="180"/>
      <c r="R6" s="180"/>
      <c r="S6" s="180"/>
      <c r="T6" s="180"/>
      <c r="U6" s="180"/>
      <c r="V6" s="180"/>
      <c r="W6" s="180"/>
      <c r="X6" s="180"/>
      <c r="Y6" s="180"/>
      <c r="Z6" s="180"/>
      <c r="AA6" s="180"/>
      <c r="AB6" s="180"/>
      <c r="AC6" s="180"/>
      <c r="AD6" s="180"/>
      <c r="AE6" s="180"/>
      <c r="AF6" s="180"/>
      <c r="AG6" s="180"/>
      <c r="AH6" s="180"/>
      <c r="AI6" s="180"/>
      <c r="AJ6" s="180"/>
      <c r="AK6" s="180"/>
      <c r="AL6" s="181"/>
      <c r="AM6" s="181"/>
      <c r="AN6" s="181"/>
      <c r="AO6" s="181"/>
      <c r="DQ6" s="379"/>
      <c r="DT6" s="400"/>
      <c r="DW6" s="400"/>
      <c r="DZ6" s="400"/>
      <c r="EC6" s="400" t="s">
        <v>662</v>
      </c>
    </row>
    <row r="7" spans="1:133" s="87" customFormat="1" ht="15" customHeight="1" x14ac:dyDescent="0.2">
      <c r="A7" s="182"/>
      <c r="B7" s="723" t="s">
        <v>35</v>
      </c>
      <c r="C7" s="723"/>
      <c r="D7" s="723"/>
      <c r="E7" s="723" t="s">
        <v>36</v>
      </c>
      <c r="F7" s="723"/>
      <c r="G7" s="723"/>
      <c r="H7" s="723" t="s">
        <v>321</v>
      </c>
      <c r="I7" s="723"/>
      <c r="J7" s="723"/>
      <c r="K7" s="726" t="s">
        <v>331</v>
      </c>
      <c r="L7" s="723"/>
      <c r="M7" s="723"/>
      <c r="N7" s="723" t="s">
        <v>37</v>
      </c>
      <c r="O7" s="723"/>
      <c r="P7" s="723"/>
      <c r="Q7" s="723" t="s">
        <v>38</v>
      </c>
      <c r="R7" s="723"/>
      <c r="S7" s="723"/>
      <c r="T7" s="723" t="s">
        <v>322</v>
      </c>
      <c r="U7" s="723"/>
      <c r="V7" s="723"/>
      <c r="W7" s="723" t="s">
        <v>332</v>
      </c>
      <c r="X7" s="723"/>
      <c r="Y7" s="723"/>
      <c r="Z7" s="723" t="s">
        <v>39</v>
      </c>
      <c r="AA7" s="723"/>
      <c r="AB7" s="723"/>
      <c r="AC7" s="723" t="s">
        <v>40</v>
      </c>
      <c r="AD7" s="723"/>
      <c r="AE7" s="723"/>
      <c r="AF7" s="723" t="s">
        <v>323</v>
      </c>
      <c r="AG7" s="723"/>
      <c r="AH7" s="723"/>
      <c r="AI7" s="723" t="s">
        <v>333</v>
      </c>
      <c r="AJ7" s="723"/>
      <c r="AK7" s="723"/>
      <c r="AL7" s="724" t="s">
        <v>41</v>
      </c>
      <c r="AM7" s="723"/>
      <c r="AN7" s="723"/>
      <c r="AO7" s="723" t="s">
        <v>42</v>
      </c>
      <c r="AP7" s="723"/>
      <c r="AQ7" s="723"/>
      <c r="AR7" s="723" t="s">
        <v>324</v>
      </c>
      <c r="AS7" s="723"/>
      <c r="AT7" s="723"/>
      <c r="AU7" s="723" t="s">
        <v>334</v>
      </c>
      <c r="AV7" s="723"/>
      <c r="AW7" s="723"/>
      <c r="AX7" s="723" t="s">
        <v>43</v>
      </c>
      <c r="AY7" s="723"/>
      <c r="AZ7" s="723"/>
      <c r="BA7" s="723" t="s">
        <v>44</v>
      </c>
      <c r="BB7" s="723"/>
      <c r="BC7" s="723"/>
      <c r="BD7" s="723" t="s">
        <v>325</v>
      </c>
      <c r="BE7" s="723"/>
      <c r="BF7" s="723"/>
      <c r="BG7" s="723" t="s">
        <v>335</v>
      </c>
      <c r="BH7" s="723"/>
      <c r="BI7" s="723"/>
      <c r="BJ7" s="723" t="s">
        <v>45</v>
      </c>
      <c r="BK7" s="723"/>
      <c r="BL7" s="723"/>
      <c r="BM7" s="723" t="s">
        <v>46</v>
      </c>
      <c r="BN7" s="723"/>
      <c r="BO7" s="723"/>
      <c r="BP7" s="723" t="s">
        <v>326</v>
      </c>
      <c r="BQ7" s="723"/>
      <c r="BR7" s="723"/>
      <c r="BS7" s="723" t="s">
        <v>336</v>
      </c>
      <c r="BT7" s="723"/>
      <c r="BU7" s="723"/>
      <c r="BV7" s="723" t="s">
        <v>47</v>
      </c>
      <c r="BW7" s="723"/>
      <c r="BX7" s="723"/>
      <c r="BY7" s="723" t="s">
        <v>48</v>
      </c>
      <c r="BZ7" s="723"/>
      <c r="CA7" s="723"/>
      <c r="CB7" s="723" t="s">
        <v>327</v>
      </c>
      <c r="CC7" s="723"/>
      <c r="CD7" s="723"/>
      <c r="CE7" s="723" t="s">
        <v>337</v>
      </c>
      <c r="CF7" s="723"/>
      <c r="CG7" s="723"/>
      <c r="CH7" s="723" t="s">
        <v>49</v>
      </c>
      <c r="CI7" s="723"/>
      <c r="CJ7" s="723"/>
      <c r="CK7" s="723" t="s">
        <v>50</v>
      </c>
      <c r="CL7" s="723"/>
      <c r="CM7" s="723"/>
      <c r="CN7" s="723" t="s">
        <v>328</v>
      </c>
      <c r="CO7" s="723"/>
      <c r="CP7" s="723"/>
      <c r="CQ7" s="723" t="s">
        <v>338</v>
      </c>
      <c r="CR7" s="723"/>
      <c r="CS7" s="723"/>
      <c r="CT7" s="723" t="s">
        <v>51</v>
      </c>
      <c r="CU7" s="723"/>
      <c r="CV7" s="723"/>
      <c r="CW7" s="723" t="s">
        <v>52</v>
      </c>
      <c r="CX7" s="723"/>
      <c r="CY7" s="723"/>
      <c r="CZ7" s="723" t="s">
        <v>329</v>
      </c>
      <c r="DA7" s="723"/>
      <c r="DB7" s="723"/>
      <c r="DC7" s="723" t="s">
        <v>339</v>
      </c>
      <c r="DD7" s="723"/>
      <c r="DE7" s="723"/>
      <c r="DF7" s="723" t="s">
        <v>53</v>
      </c>
      <c r="DG7" s="723"/>
      <c r="DH7" s="723"/>
      <c r="DI7" s="723" t="s">
        <v>54</v>
      </c>
      <c r="DJ7" s="723"/>
      <c r="DK7" s="723"/>
      <c r="DL7" s="723" t="s">
        <v>330</v>
      </c>
      <c r="DM7" s="723"/>
      <c r="DN7" s="723"/>
      <c r="DO7" s="723" t="s">
        <v>340</v>
      </c>
      <c r="DP7" s="723"/>
      <c r="DQ7" s="723"/>
      <c r="DR7" s="727" t="s">
        <v>71</v>
      </c>
      <c r="DS7" s="723"/>
      <c r="DT7" s="723"/>
      <c r="DU7" s="727" t="s">
        <v>374</v>
      </c>
      <c r="DV7" s="723"/>
      <c r="DW7" s="723"/>
      <c r="DX7" s="727" t="s">
        <v>376</v>
      </c>
      <c r="DY7" s="723"/>
      <c r="DZ7" s="723"/>
      <c r="EA7" s="727" t="s">
        <v>399</v>
      </c>
      <c r="EB7" s="723"/>
      <c r="EC7" s="723"/>
    </row>
    <row r="8" spans="1:133" s="430" customFormat="1" ht="15" customHeight="1" x14ac:dyDescent="0.2">
      <c r="A8" s="429"/>
      <c r="B8" s="725" t="s">
        <v>72</v>
      </c>
      <c r="C8" s="725" t="s">
        <v>73</v>
      </c>
      <c r="D8" s="725" t="s">
        <v>74</v>
      </c>
      <c r="E8" s="725" t="s">
        <v>72</v>
      </c>
      <c r="F8" s="725" t="s">
        <v>73</v>
      </c>
      <c r="G8" s="725" t="s">
        <v>74</v>
      </c>
      <c r="H8" s="725" t="s">
        <v>72</v>
      </c>
      <c r="I8" s="725" t="s">
        <v>73</v>
      </c>
      <c r="J8" s="725" t="s">
        <v>74</v>
      </c>
      <c r="K8" s="725" t="s">
        <v>72</v>
      </c>
      <c r="L8" s="725" t="s">
        <v>73</v>
      </c>
      <c r="M8" s="725" t="s">
        <v>74</v>
      </c>
      <c r="N8" s="725" t="s">
        <v>72</v>
      </c>
      <c r="O8" s="725" t="s">
        <v>73</v>
      </c>
      <c r="P8" s="725" t="s">
        <v>74</v>
      </c>
      <c r="Q8" s="725" t="s">
        <v>72</v>
      </c>
      <c r="R8" s="725" t="s">
        <v>73</v>
      </c>
      <c r="S8" s="725" t="s">
        <v>74</v>
      </c>
      <c r="T8" s="725" t="s">
        <v>72</v>
      </c>
      <c r="U8" s="725" t="s">
        <v>73</v>
      </c>
      <c r="V8" s="725" t="s">
        <v>74</v>
      </c>
      <c r="W8" s="725" t="s">
        <v>72</v>
      </c>
      <c r="X8" s="725" t="s">
        <v>73</v>
      </c>
      <c r="Y8" s="725" t="s">
        <v>74</v>
      </c>
      <c r="Z8" s="725" t="s">
        <v>72</v>
      </c>
      <c r="AA8" s="725" t="s">
        <v>73</v>
      </c>
      <c r="AB8" s="725" t="s">
        <v>74</v>
      </c>
      <c r="AC8" s="725" t="s">
        <v>72</v>
      </c>
      <c r="AD8" s="725" t="s">
        <v>73</v>
      </c>
      <c r="AE8" s="725" t="s">
        <v>74</v>
      </c>
      <c r="AF8" s="725" t="s">
        <v>72</v>
      </c>
      <c r="AG8" s="725" t="s">
        <v>73</v>
      </c>
      <c r="AH8" s="725" t="s">
        <v>74</v>
      </c>
      <c r="AI8" s="725" t="s">
        <v>72</v>
      </c>
      <c r="AJ8" s="725" t="s">
        <v>73</v>
      </c>
      <c r="AK8" s="725" t="s">
        <v>74</v>
      </c>
      <c r="AL8" s="725" t="s">
        <v>72</v>
      </c>
      <c r="AM8" s="725" t="s">
        <v>73</v>
      </c>
      <c r="AN8" s="725" t="s">
        <v>74</v>
      </c>
      <c r="AO8" s="725" t="s">
        <v>72</v>
      </c>
      <c r="AP8" s="725" t="s">
        <v>73</v>
      </c>
      <c r="AQ8" s="725" t="s">
        <v>74</v>
      </c>
      <c r="AR8" s="725" t="s">
        <v>72</v>
      </c>
      <c r="AS8" s="725" t="s">
        <v>73</v>
      </c>
      <c r="AT8" s="725" t="s">
        <v>74</v>
      </c>
      <c r="AU8" s="725" t="s">
        <v>72</v>
      </c>
      <c r="AV8" s="725" t="s">
        <v>73</v>
      </c>
      <c r="AW8" s="725" t="s">
        <v>74</v>
      </c>
      <c r="AX8" s="725" t="s">
        <v>72</v>
      </c>
      <c r="AY8" s="725" t="s">
        <v>73</v>
      </c>
      <c r="AZ8" s="725" t="s">
        <v>74</v>
      </c>
      <c r="BA8" s="725" t="s">
        <v>72</v>
      </c>
      <c r="BB8" s="725" t="s">
        <v>73</v>
      </c>
      <c r="BC8" s="725" t="s">
        <v>74</v>
      </c>
      <c r="BD8" s="725" t="s">
        <v>72</v>
      </c>
      <c r="BE8" s="725" t="s">
        <v>73</v>
      </c>
      <c r="BF8" s="725" t="s">
        <v>74</v>
      </c>
      <c r="BG8" s="725" t="s">
        <v>72</v>
      </c>
      <c r="BH8" s="725" t="s">
        <v>73</v>
      </c>
      <c r="BI8" s="725" t="s">
        <v>74</v>
      </c>
      <c r="BJ8" s="725" t="s">
        <v>72</v>
      </c>
      <c r="BK8" s="725" t="s">
        <v>73</v>
      </c>
      <c r="BL8" s="725" t="s">
        <v>74</v>
      </c>
      <c r="BM8" s="725" t="s">
        <v>72</v>
      </c>
      <c r="BN8" s="725" t="s">
        <v>73</v>
      </c>
      <c r="BO8" s="725" t="s">
        <v>74</v>
      </c>
      <c r="BP8" s="725" t="s">
        <v>72</v>
      </c>
      <c r="BQ8" s="725" t="s">
        <v>73</v>
      </c>
      <c r="BR8" s="725" t="s">
        <v>74</v>
      </c>
      <c r="BS8" s="725" t="s">
        <v>72</v>
      </c>
      <c r="BT8" s="725" t="s">
        <v>73</v>
      </c>
      <c r="BU8" s="725" t="s">
        <v>74</v>
      </c>
      <c r="BV8" s="725" t="s">
        <v>72</v>
      </c>
      <c r="BW8" s="725" t="s">
        <v>73</v>
      </c>
      <c r="BX8" s="725" t="s">
        <v>74</v>
      </c>
      <c r="BY8" s="725" t="s">
        <v>72</v>
      </c>
      <c r="BZ8" s="725" t="s">
        <v>73</v>
      </c>
      <c r="CA8" s="725" t="s">
        <v>74</v>
      </c>
      <c r="CB8" s="725" t="s">
        <v>72</v>
      </c>
      <c r="CC8" s="725" t="s">
        <v>73</v>
      </c>
      <c r="CD8" s="725" t="s">
        <v>74</v>
      </c>
      <c r="CE8" s="725" t="s">
        <v>72</v>
      </c>
      <c r="CF8" s="725" t="s">
        <v>73</v>
      </c>
      <c r="CG8" s="725" t="s">
        <v>74</v>
      </c>
      <c r="CH8" s="725" t="s">
        <v>72</v>
      </c>
      <c r="CI8" s="725" t="s">
        <v>73</v>
      </c>
      <c r="CJ8" s="725" t="s">
        <v>74</v>
      </c>
      <c r="CK8" s="725" t="s">
        <v>72</v>
      </c>
      <c r="CL8" s="725" t="s">
        <v>73</v>
      </c>
      <c r="CM8" s="725" t="s">
        <v>74</v>
      </c>
      <c r="CN8" s="725" t="s">
        <v>72</v>
      </c>
      <c r="CO8" s="725" t="s">
        <v>73</v>
      </c>
      <c r="CP8" s="725" t="s">
        <v>74</v>
      </c>
      <c r="CQ8" s="725" t="s">
        <v>72</v>
      </c>
      <c r="CR8" s="725" t="s">
        <v>73</v>
      </c>
      <c r="CS8" s="725" t="s">
        <v>74</v>
      </c>
      <c r="CT8" s="725" t="s">
        <v>72</v>
      </c>
      <c r="CU8" s="725" t="s">
        <v>73</v>
      </c>
      <c r="CV8" s="725" t="s">
        <v>74</v>
      </c>
      <c r="CW8" s="725" t="s">
        <v>72</v>
      </c>
      <c r="CX8" s="725" t="s">
        <v>73</v>
      </c>
      <c r="CY8" s="725" t="s">
        <v>74</v>
      </c>
      <c r="CZ8" s="725" t="s">
        <v>72</v>
      </c>
      <c r="DA8" s="725" t="s">
        <v>73</v>
      </c>
      <c r="DB8" s="725" t="s">
        <v>74</v>
      </c>
      <c r="DC8" s="725" t="s">
        <v>72</v>
      </c>
      <c r="DD8" s="725" t="s">
        <v>73</v>
      </c>
      <c r="DE8" s="725" t="s">
        <v>74</v>
      </c>
      <c r="DF8" s="725" t="s">
        <v>72</v>
      </c>
      <c r="DG8" s="725" t="s">
        <v>73</v>
      </c>
      <c r="DH8" s="725" t="s">
        <v>74</v>
      </c>
      <c r="DI8" s="725" t="s">
        <v>72</v>
      </c>
      <c r="DJ8" s="725" t="s">
        <v>73</v>
      </c>
      <c r="DK8" s="725" t="s">
        <v>74</v>
      </c>
      <c r="DL8" s="725" t="s">
        <v>72</v>
      </c>
      <c r="DM8" s="725" t="s">
        <v>73</v>
      </c>
      <c r="DN8" s="725" t="s">
        <v>74</v>
      </c>
      <c r="DO8" s="725" t="s">
        <v>72</v>
      </c>
      <c r="DP8" s="725" t="s">
        <v>73</v>
      </c>
      <c r="DQ8" s="725" t="s">
        <v>74</v>
      </c>
      <c r="DR8" s="725" t="s">
        <v>72</v>
      </c>
      <c r="DS8" s="725" t="s">
        <v>73</v>
      </c>
      <c r="DT8" s="725" t="s">
        <v>74</v>
      </c>
      <c r="DU8" s="725" t="s">
        <v>72</v>
      </c>
      <c r="DV8" s="725" t="s">
        <v>73</v>
      </c>
      <c r="DW8" s="725" t="s">
        <v>74</v>
      </c>
      <c r="DX8" s="725" t="s">
        <v>72</v>
      </c>
      <c r="DY8" s="725" t="s">
        <v>73</v>
      </c>
      <c r="DZ8" s="725" t="s">
        <v>74</v>
      </c>
      <c r="EA8" s="725" t="s">
        <v>72</v>
      </c>
      <c r="EB8" s="725" t="s">
        <v>73</v>
      </c>
      <c r="EC8" s="725" t="s">
        <v>74</v>
      </c>
    </row>
    <row r="9" spans="1:133" s="428" customFormat="1" ht="15" customHeight="1" x14ac:dyDescent="0.2">
      <c r="A9" s="427"/>
      <c r="B9" s="725"/>
      <c r="C9" s="725"/>
      <c r="D9" s="725"/>
      <c r="E9" s="725"/>
      <c r="F9" s="725"/>
      <c r="G9" s="725"/>
      <c r="H9" s="725"/>
      <c r="I9" s="725"/>
      <c r="J9" s="725"/>
      <c r="K9" s="725"/>
      <c r="L9" s="725"/>
      <c r="M9" s="725"/>
      <c r="N9" s="725"/>
      <c r="O9" s="725"/>
      <c r="P9" s="725"/>
      <c r="Q9" s="725"/>
      <c r="R9" s="725"/>
      <c r="S9" s="725"/>
      <c r="T9" s="725"/>
      <c r="U9" s="725"/>
      <c r="V9" s="725"/>
      <c r="W9" s="725"/>
      <c r="X9" s="725"/>
      <c r="Y9" s="725"/>
      <c r="Z9" s="725"/>
      <c r="AA9" s="725"/>
      <c r="AB9" s="725"/>
      <c r="AC9" s="725"/>
      <c r="AD9" s="725"/>
      <c r="AE9" s="725"/>
      <c r="AF9" s="725"/>
      <c r="AG9" s="725"/>
      <c r="AH9" s="725"/>
      <c r="AI9" s="725"/>
      <c r="AJ9" s="725"/>
      <c r="AK9" s="725"/>
      <c r="AL9" s="725"/>
      <c r="AM9" s="725"/>
      <c r="AN9" s="725"/>
      <c r="AO9" s="725"/>
      <c r="AP9" s="725"/>
      <c r="AQ9" s="725"/>
      <c r="AR9" s="725"/>
      <c r="AS9" s="725"/>
      <c r="AT9" s="725"/>
      <c r="AU9" s="725"/>
      <c r="AV9" s="725"/>
      <c r="AW9" s="725"/>
      <c r="AX9" s="725"/>
      <c r="AY9" s="725"/>
      <c r="AZ9" s="725"/>
      <c r="BA9" s="725"/>
      <c r="BB9" s="725"/>
      <c r="BC9" s="725"/>
      <c r="BD9" s="725"/>
      <c r="BE9" s="725"/>
      <c r="BF9" s="725"/>
      <c r="BG9" s="725"/>
      <c r="BH9" s="725"/>
      <c r="BI9" s="725"/>
      <c r="BJ9" s="725"/>
      <c r="BK9" s="725"/>
      <c r="BL9" s="725"/>
      <c r="BM9" s="725"/>
      <c r="BN9" s="725"/>
      <c r="BO9" s="725"/>
      <c r="BP9" s="725"/>
      <c r="BQ9" s="725"/>
      <c r="BR9" s="725"/>
      <c r="BS9" s="725"/>
      <c r="BT9" s="725"/>
      <c r="BU9" s="725"/>
      <c r="BV9" s="725"/>
      <c r="BW9" s="725"/>
      <c r="BX9" s="725"/>
      <c r="BY9" s="725"/>
      <c r="BZ9" s="725"/>
      <c r="CA9" s="725"/>
      <c r="CB9" s="725"/>
      <c r="CC9" s="725"/>
      <c r="CD9" s="725"/>
      <c r="CE9" s="725"/>
      <c r="CF9" s="725"/>
      <c r="CG9" s="725"/>
      <c r="CH9" s="725"/>
      <c r="CI9" s="725"/>
      <c r="CJ9" s="725"/>
      <c r="CK9" s="725"/>
      <c r="CL9" s="725"/>
      <c r="CM9" s="725"/>
      <c r="CN9" s="725"/>
      <c r="CO9" s="725"/>
      <c r="CP9" s="725"/>
      <c r="CQ9" s="725"/>
      <c r="CR9" s="725"/>
      <c r="CS9" s="725"/>
      <c r="CT9" s="725"/>
      <c r="CU9" s="725"/>
      <c r="CV9" s="725"/>
      <c r="CW9" s="725"/>
      <c r="CX9" s="725"/>
      <c r="CY9" s="725"/>
      <c r="CZ9" s="725"/>
      <c r="DA9" s="725"/>
      <c r="DB9" s="725"/>
      <c r="DC9" s="725"/>
      <c r="DD9" s="725"/>
      <c r="DE9" s="725"/>
      <c r="DF9" s="725"/>
      <c r="DG9" s="725"/>
      <c r="DH9" s="725"/>
      <c r="DI9" s="725"/>
      <c r="DJ9" s="725"/>
      <c r="DK9" s="725"/>
      <c r="DL9" s="725"/>
      <c r="DM9" s="725"/>
      <c r="DN9" s="725"/>
      <c r="DO9" s="725"/>
      <c r="DP9" s="725"/>
      <c r="DQ9" s="725"/>
      <c r="DR9" s="725"/>
      <c r="DS9" s="725"/>
      <c r="DT9" s="725"/>
      <c r="DU9" s="725"/>
      <c r="DV9" s="725"/>
      <c r="DW9" s="725"/>
      <c r="DX9" s="725"/>
      <c r="DY9" s="725"/>
      <c r="DZ9" s="725"/>
      <c r="EA9" s="725"/>
      <c r="EB9" s="725"/>
      <c r="EC9" s="725"/>
    </row>
    <row r="10" spans="1:133" s="178" customFormat="1" ht="5.25" customHeight="1" x14ac:dyDescent="0.2">
      <c r="A10" s="385"/>
      <c r="B10" s="191"/>
      <c r="C10" s="191"/>
      <c r="D10" s="191"/>
      <c r="E10" s="191"/>
      <c r="F10" s="191"/>
      <c r="G10" s="191"/>
      <c r="H10" s="191"/>
      <c r="I10" s="191"/>
      <c r="J10" s="191"/>
      <c r="K10" s="191"/>
      <c r="L10" s="191"/>
      <c r="M10" s="191"/>
      <c r="N10" s="191"/>
      <c r="O10" s="191"/>
      <c r="P10" s="191"/>
      <c r="Q10" s="191"/>
      <c r="R10" s="191"/>
      <c r="S10" s="191"/>
      <c r="T10" s="191"/>
      <c r="U10" s="191"/>
      <c r="V10" s="191"/>
      <c r="W10" s="191"/>
      <c r="X10" s="191"/>
      <c r="Y10" s="191"/>
      <c r="Z10" s="191"/>
      <c r="AA10" s="191"/>
      <c r="AB10" s="191"/>
      <c r="AC10" s="191"/>
      <c r="AD10" s="191"/>
      <c r="AE10" s="191"/>
      <c r="AF10" s="191"/>
      <c r="AG10" s="191"/>
      <c r="AH10" s="191"/>
      <c r="AI10" s="191"/>
      <c r="AJ10" s="191"/>
      <c r="AK10" s="191"/>
      <c r="AL10" s="191"/>
      <c r="AM10" s="191"/>
      <c r="AN10" s="191"/>
      <c r="AO10" s="191"/>
      <c r="AP10" s="191"/>
      <c r="AQ10" s="191"/>
      <c r="AR10" s="191"/>
      <c r="AS10" s="191"/>
      <c r="AT10" s="191"/>
      <c r="AU10" s="191"/>
      <c r="AV10" s="191"/>
      <c r="AW10" s="191"/>
      <c r="AX10" s="191"/>
      <c r="AY10" s="191"/>
      <c r="AZ10" s="191"/>
      <c r="BA10" s="191"/>
      <c r="BB10" s="191"/>
      <c r="BC10" s="191"/>
      <c r="BD10" s="191"/>
      <c r="BE10" s="191"/>
      <c r="BF10" s="191"/>
      <c r="BG10" s="191"/>
      <c r="BH10" s="191"/>
      <c r="BI10" s="191"/>
      <c r="BJ10" s="191"/>
      <c r="BK10" s="191"/>
      <c r="BL10" s="191"/>
      <c r="BM10" s="191"/>
      <c r="BN10" s="191"/>
      <c r="BO10" s="191"/>
      <c r="BP10" s="191"/>
      <c r="BQ10" s="191"/>
      <c r="BR10" s="191"/>
      <c r="BS10" s="191"/>
      <c r="BT10" s="191"/>
      <c r="BU10" s="191"/>
      <c r="BV10" s="191"/>
      <c r="BW10" s="191"/>
      <c r="BX10" s="191"/>
      <c r="BY10" s="191"/>
      <c r="BZ10" s="191"/>
      <c r="CA10" s="191"/>
      <c r="CB10" s="191"/>
      <c r="CC10" s="191"/>
      <c r="CD10" s="191"/>
      <c r="CE10" s="191"/>
      <c r="CF10" s="191"/>
      <c r="CG10" s="191"/>
      <c r="CH10" s="191"/>
      <c r="CI10" s="191"/>
      <c r="CJ10" s="191"/>
      <c r="CK10" s="191"/>
      <c r="CL10" s="191"/>
      <c r="CM10" s="191"/>
      <c r="CN10" s="191"/>
      <c r="CO10" s="191"/>
      <c r="CP10" s="191"/>
      <c r="CQ10" s="191"/>
      <c r="CR10" s="191"/>
      <c r="CS10" s="191"/>
      <c r="CT10" s="191"/>
      <c r="CU10" s="191"/>
      <c r="CV10" s="191"/>
      <c r="CW10" s="191"/>
      <c r="CX10" s="191"/>
      <c r="CY10" s="191"/>
      <c r="CZ10" s="191"/>
      <c r="DA10" s="191"/>
      <c r="DB10" s="191"/>
      <c r="DC10" s="191"/>
      <c r="DD10" s="191"/>
      <c r="DE10" s="191"/>
      <c r="DF10" s="191"/>
      <c r="DG10" s="191"/>
      <c r="DH10" s="191"/>
      <c r="DI10" s="191"/>
      <c r="DJ10" s="191"/>
      <c r="DK10" s="191"/>
      <c r="DL10" s="191"/>
      <c r="DM10" s="191"/>
      <c r="DN10" s="191"/>
      <c r="DO10" s="191"/>
      <c r="DP10" s="191"/>
      <c r="DQ10" s="191"/>
      <c r="DR10" s="191"/>
      <c r="DS10" s="191"/>
      <c r="DT10" s="191"/>
      <c r="DU10" s="191"/>
      <c r="DV10" s="191"/>
      <c r="DW10" s="191"/>
      <c r="DX10" s="191"/>
      <c r="DY10" s="191"/>
      <c r="DZ10" s="191"/>
      <c r="EA10" s="191"/>
      <c r="EB10" s="191"/>
      <c r="EC10" s="191"/>
    </row>
    <row r="11" spans="1:133" s="178" customFormat="1" ht="15" customHeight="1" thickBot="1" x14ac:dyDescent="0.25">
      <c r="A11" s="571" t="s">
        <v>75</v>
      </c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58"/>
      <c r="Z11" s="158"/>
      <c r="AA11" s="158"/>
      <c r="AB11" s="158"/>
      <c r="AC11" s="158"/>
      <c r="AD11" s="158"/>
      <c r="AE11" s="158"/>
      <c r="AF11" s="158"/>
      <c r="AG11" s="158"/>
      <c r="AH11" s="158"/>
      <c r="AI11" s="158"/>
      <c r="AJ11" s="158"/>
      <c r="AK11" s="158"/>
      <c r="AL11" s="158"/>
      <c r="AM11" s="158"/>
      <c r="AN11" s="158"/>
      <c r="AO11" s="158"/>
      <c r="AP11" s="158"/>
      <c r="AQ11" s="158"/>
      <c r="AR11" s="158"/>
      <c r="AS11" s="158"/>
      <c r="AT11" s="158"/>
      <c r="AU11" s="158"/>
      <c r="AV11" s="158"/>
      <c r="AW11" s="158"/>
      <c r="AX11" s="158"/>
      <c r="AY11" s="158"/>
      <c r="AZ11" s="158"/>
      <c r="BA11" s="158"/>
      <c r="BB11" s="158"/>
      <c r="BC11" s="158"/>
      <c r="BD11" s="158"/>
      <c r="BE11" s="158"/>
      <c r="BF11" s="158"/>
      <c r="BG11" s="158"/>
      <c r="BH11" s="158"/>
      <c r="BI11" s="158"/>
      <c r="BJ11" s="158"/>
      <c r="BK11" s="158"/>
      <c r="BL11" s="158"/>
      <c r="BM11" s="158"/>
      <c r="BN11" s="158"/>
      <c r="BO11" s="158"/>
      <c r="BP11" s="158"/>
      <c r="BQ11" s="158"/>
      <c r="BR11" s="158"/>
      <c r="BS11" s="158"/>
      <c r="BT11" s="158"/>
      <c r="BU11" s="158"/>
      <c r="BV11" s="158"/>
      <c r="BW11" s="158"/>
      <c r="BX11" s="158"/>
      <c r="BY11" s="158"/>
      <c r="BZ11" s="158"/>
      <c r="CA11" s="158"/>
      <c r="CB11" s="158"/>
      <c r="CC11" s="158"/>
      <c r="CD11" s="158"/>
      <c r="CE11" s="158"/>
      <c r="CF11" s="158"/>
      <c r="CG11" s="158"/>
      <c r="CH11" s="158"/>
      <c r="CI11" s="158"/>
      <c r="CJ11" s="158"/>
      <c r="CK11" s="158"/>
      <c r="CL11" s="158"/>
      <c r="CM11" s="158"/>
      <c r="CN11" s="158"/>
      <c r="CO11" s="158"/>
      <c r="CP11" s="158"/>
      <c r="CQ11" s="158"/>
      <c r="CR11" s="158"/>
      <c r="CS11" s="158"/>
      <c r="CT11" s="158"/>
      <c r="CU11" s="158"/>
      <c r="CV11" s="158"/>
      <c r="CW11" s="158"/>
      <c r="CX11" s="158"/>
      <c r="CY11" s="158"/>
      <c r="CZ11" s="158"/>
      <c r="DA11" s="158"/>
      <c r="DB11" s="158"/>
      <c r="DC11" s="158"/>
      <c r="DD11" s="158"/>
      <c r="DE11" s="158"/>
      <c r="DF11" s="158"/>
      <c r="DG11" s="158"/>
      <c r="DH11" s="158"/>
      <c r="DI11" s="158"/>
      <c r="DJ11" s="158"/>
      <c r="DK11" s="158"/>
      <c r="DL11" s="158"/>
      <c r="DM11" s="158"/>
      <c r="DN11" s="158"/>
      <c r="DO11" s="158"/>
      <c r="DP11" s="158"/>
      <c r="DQ11" s="158"/>
      <c r="DR11" s="158"/>
      <c r="DS11" s="158"/>
      <c r="DT11" s="158"/>
      <c r="DU11" s="158"/>
      <c r="DV11" s="158"/>
      <c r="DW11" s="158"/>
      <c r="DX11" s="158"/>
      <c r="DY11" s="158"/>
      <c r="DZ11" s="158"/>
      <c r="EA11" s="158"/>
      <c r="EB11" s="158"/>
      <c r="EC11" s="158"/>
    </row>
    <row r="12" spans="1:133" s="164" customFormat="1" ht="15" customHeight="1" thickTop="1" x14ac:dyDescent="0.2">
      <c r="A12" s="432" t="s">
        <v>601</v>
      </c>
      <c r="B12" s="160">
        <f t="shared" ref="B12:J12" si="0">SUM(B13:B18)</f>
        <v>277850</v>
      </c>
      <c r="C12" s="160">
        <f t="shared" si="0"/>
        <v>248489</v>
      </c>
      <c r="D12" s="160">
        <f t="shared" si="0"/>
        <v>29361</v>
      </c>
      <c r="E12" s="160">
        <f t="shared" si="0"/>
        <v>286486</v>
      </c>
      <c r="F12" s="160">
        <f t="shared" si="0"/>
        <v>257787</v>
      </c>
      <c r="G12" s="160">
        <f t="shared" si="0"/>
        <v>28699</v>
      </c>
      <c r="H12" s="161">
        <f t="shared" si="0"/>
        <v>313460</v>
      </c>
      <c r="I12" s="161">
        <f t="shared" si="0"/>
        <v>284641</v>
      </c>
      <c r="J12" s="161">
        <f t="shared" si="0"/>
        <v>28819</v>
      </c>
      <c r="K12" s="161">
        <f t="shared" ref="K12:AP12" si="1">SUM(K13:K18)</f>
        <v>336221</v>
      </c>
      <c r="L12" s="161">
        <f t="shared" si="1"/>
        <v>304618</v>
      </c>
      <c r="M12" s="161">
        <f t="shared" si="1"/>
        <v>31603</v>
      </c>
      <c r="N12" s="161">
        <f t="shared" si="1"/>
        <v>350172</v>
      </c>
      <c r="O12" s="161">
        <f t="shared" si="1"/>
        <v>315711</v>
      </c>
      <c r="P12" s="161">
        <f t="shared" si="1"/>
        <v>34461</v>
      </c>
      <c r="Q12" s="161">
        <f t="shared" si="1"/>
        <v>397746</v>
      </c>
      <c r="R12" s="161">
        <f t="shared" si="1"/>
        <v>365705</v>
      </c>
      <c r="S12" s="161">
        <f t="shared" si="1"/>
        <v>32041</v>
      </c>
      <c r="T12" s="161">
        <f t="shared" si="1"/>
        <v>416161</v>
      </c>
      <c r="U12" s="161">
        <f t="shared" si="1"/>
        <v>373991</v>
      </c>
      <c r="V12" s="161">
        <f t="shared" si="1"/>
        <v>42170</v>
      </c>
      <c r="W12" s="161">
        <f t="shared" si="1"/>
        <v>446802</v>
      </c>
      <c r="X12" s="161">
        <f t="shared" si="1"/>
        <v>397771</v>
      </c>
      <c r="Y12" s="161">
        <f t="shared" si="1"/>
        <v>49031</v>
      </c>
      <c r="Z12" s="161">
        <f t="shared" si="1"/>
        <v>474124</v>
      </c>
      <c r="AA12" s="161">
        <f t="shared" si="1"/>
        <v>421245</v>
      </c>
      <c r="AB12" s="161">
        <f t="shared" si="1"/>
        <v>52879</v>
      </c>
      <c r="AC12" s="161">
        <f t="shared" si="1"/>
        <v>474301</v>
      </c>
      <c r="AD12" s="161">
        <f t="shared" si="1"/>
        <v>433951</v>
      </c>
      <c r="AE12" s="161">
        <f t="shared" si="1"/>
        <v>40350</v>
      </c>
      <c r="AF12" s="161">
        <f t="shared" si="1"/>
        <v>477457</v>
      </c>
      <c r="AG12" s="161">
        <f t="shared" si="1"/>
        <v>441708</v>
      </c>
      <c r="AH12" s="161">
        <f t="shared" si="1"/>
        <v>35749</v>
      </c>
      <c r="AI12" s="161">
        <f t="shared" si="1"/>
        <v>496027</v>
      </c>
      <c r="AJ12" s="161">
        <f t="shared" si="1"/>
        <v>461012</v>
      </c>
      <c r="AK12" s="161">
        <f t="shared" si="1"/>
        <v>35015</v>
      </c>
      <c r="AL12" s="161">
        <f t="shared" si="1"/>
        <v>522710</v>
      </c>
      <c r="AM12" s="161">
        <f t="shared" si="1"/>
        <v>484933</v>
      </c>
      <c r="AN12" s="161">
        <f t="shared" si="1"/>
        <v>37777</v>
      </c>
      <c r="AO12" s="161">
        <f t="shared" si="1"/>
        <v>547868</v>
      </c>
      <c r="AP12" s="161">
        <f t="shared" si="1"/>
        <v>510589</v>
      </c>
      <c r="AQ12" s="161">
        <f t="shared" ref="AQ12:BV12" si="2">SUM(AQ13:AQ18)</f>
        <v>37279</v>
      </c>
      <c r="AR12" s="161">
        <f t="shared" si="2"/>
        <v>601180</v>
      </c>
      <c r="AS12" s="161">
        <f t="shared" si="2"/>
        <v>558861</v>
      </c>
      <c r="AT12" s="161">
        <f t="shared" si="2"/>
        <v>42319</v>
      </c>
      <c r="AU12" s="161">
        <f t="shared" si="2"/>
        <v>625783</v>
      </c>
      <c r="AV12" s="161">
        <f t="shared" si="2"/>
        <v>588999</v>
      </c>
      <c r="AW12" s="161">
        <f t="shared" si="2"/>
        <v>36784</v>
      </c>
      <c r="AX12" s="161">
        <f t="shared" si="2"/>
        <v>663599</v>
      </c>
      <c r="AY12" s="161">
        <f t="shared" si="2"/>
        <v>621100</v>
      </c>
      <c r="AZ12" s="161">
        <f t="shared" si="2"/>
        <v>42499</v>
      </c>
      <c r="BA12" s="161">
        <f t="shared" si="2"/>
        <v>677571</v>
      </c>
      <c r="BB12" s="161">
        <f t="shared" si="2"/>
        <v>632820</v>
      </c>
      <c r="BC12" s="161">
        <f t="shared" si="2"/>
        <v>44751</v>
      </c>
      <c r="BD12" s="161">
        <f t="shared" si="2"/>
        <v>710238</v>
      </c>
      <c r="BE12" s="161">
        <f t="shared" si="2"/>
        <v>657126</v>
      </c>
      <c r="BF12" s="161">
        <f t="shared" si="2"/>
        <v>53112</v>
      </c>
      <c r="BG12" s="161">
        <f t="shared" si="2"/>
        <v>746090</v>
      </c>
      <c r="BH12" s="161">
        <f t="shared" si="2"/>
        <v>694288</v>
      </c>
      <c r="BI12" s="161">
        <f t="shared" si="2"/>
        <v>51802</v>
      </c>
      <c r="BJ12" s="161">
        <f t="shared" si="2"/>
        <v>773896</v>
      </c>
      <c r="BK12" s="161">
        <f t="shared" si="2"/>
        <v>720935</v>
      </c>
      <c r="BL12" s="161">
        <f t="shared" si="2"/>
        <v>52961</v>
      </c>
      <c r="BM12" s="161">
        <f t="shared" si="2"/>
        <v>815063</v>
      </c>
      <c r="BN12" s="161">
        <f t="shared" si="2"/>
        <v>759269</v>
      </c>
      <c r="BO12" s="161">
        <f t="shared" si="2"/>
        <v>55794</v>
      </c>
      <c r="BP12" s="161">
        <f t="shared" si="2"/>
        <v>840296</v>
      </c>
      <c r="BQ12" s="161">
        <f t="shared" si="2"/>
        <v>784707</v>
      </c>
      <c r="BR12" s="161">
        <f t="shared" si="2"/>
        <v>55589</v>
      </c>
      <c r="BS12" s="161">
        <f t="shared" si="2"/>
        <v>864279</v>
      </c>
      <c r="BT12" s="161">
        <f t="shared" si="2"/>
        <v>812497</v>
      </c>
      <c r="BU12" s="161">
        <f t="shared" si="2"/>
        <v>51782</v>
      </c>
      <c r="BV12" s="161">
        <f t="shared" si="2"/>
        <v>879191</v>
      </c>
      <c r="BW12" s="161">
        <f t="shared" ref="BW12:DB12" si="3">SUM(BW13:BW18)</f>
        <v>827081</v>
      </c>
      <c r="BX12" s="161">
        <f t="shared" si="3"/>
        <v>52110</v>
      </c>
      <c r="BY12" s="161">
        <f t="shared" si="3"/>
        <v>881121</v>
      </c>
      <c r="BZ12" s="161">
        <f t="shared" si="3"/>
        <v>823936</v>
      </c>
      <c r="CA12" s="161">
        <f t="shared" si="3"/>
        <v>57185</v>
      </c>
      <c r="CB12" s="161">
        <f t="shared" si="3"/>
        <v>892363</v>
      </c>
      <c r="CC12" s="161">
        <f t="shared" si="3"/>
        <v>833673</v>
      </c>
      <c r="CD12" s="161">
        <f t="shared" si="3"/>
        <v>58690</v>
      </c>
      <c r="CE12" s="161">
        <f t="shared" si="3"/>
        <v>892496</v>
      </c>
      <c r="CF12" s="161">
        <f t="shared" si="3"/>
        <v>831636</v>
      </c>
      <c r="CG12" s="161">
        <f t="shared" si="3"/>
        <v>60860</v>
      </c>
      <c r="CH12" s="161">
        <f t="shared" si="3"/>
        <v>906761</v>
      </c>
      <c r="CI12" s="161">
        <f t="shared" si="3"/>
        <v>839816</v>
      </c>
      <c r="CJ12" s="161">
        <f t="shared" si="3"/>
        <v>66945</v>
      </c>
      <c r="CK12" s="161">
        <f t="shared" si="3"/>
        <v>915986</v>
      </c>
      <c r="CL12" s="161">
        <f t="shared" si="3"/>
        <v>857029</v>
      </c>
      <c r="CM12" s="161">
        <f t="shared" si="3"/>
        <v>58957</v>
      </c>
      <c r="CN12" s="161">
        <f t="shared" si="3"/>
        <v>972314</v>
      </c>
      <c r="CO12" s="161">
        <f t="shared" si="3"/>
        <v>909452</v>
      </c>
      <c r="CP12" s="161">
        <f t="shared" si="3"/>
        <v>62862</v>
      </c>
      <c r="CQ12" s="161">
        <f t="shared" si="3"/>
        <v>1016969</v>
      </c>
      <c r="CR12" s="161">
        <f t="shared" si="3"/>
        <v>951181</v>
      </c>
      <c r="CS12" s="161">
        <f t="shared" si="3"/>
        <v>65788</v>
      </c>
      <c r="CT12" s="161">
        <f t="shared" si="3"/>
        <v>1015434</v>
      </c>
      <c r="CU12" s="161">
        <f t="shared" si="3"/>
        <v>938469</v>
      </c>
      <c r="CV12" s="161">
        <f t="shared" si="3"/>
        <v>76965</v>
      </c>
      <c r="CW12" s="161">
        <f t="shared" si="3"/>
        <v>1010599</v>
      </c>
      <c r="CX12" s="161">
        <f t="shared" si="3"/>
        <v>933757</v>
      </c>
      <c r="CY12" s="161">
        <f t="shared" si="3"/>
        <v>76842</v>
      </c>
      <c r="CZ12" s="161">
        <f t="shared" si="3"/>
        <v>1031888</v>
      </c>
      <c r="DA12" s="161">
        <f t="shared" si="3"/>
        <v>929301</v>
      </c>
      <c r="DB12" s="161">
        <f t="shared" si="3"/>
        <v>102587</v>
      </c>
      <c r="DC12" s="161">
        <f t="shared" ref="DC12:DH12" si="4">SUM(DC13:DC18)</f>
        <v>1059766</v>
      </c>
      <c r="DD12" s="161">
        <f t="shared" si="4"/>
        <v>966718</v>
      </c>
      <c r="DE12" s="161">
        <f t="shared" si="4"/>
        <v>93048</v>
      </c>
      <c r="DF12" s="161">
        <f t="shared" si="4"/>
        <v>1082131</v>
      </c>
      <c r="DG12" s="161">
        <f t="shared" si="4"/>
        <v>993024</v>
      </c>
      <c r="DH12" s="161">
        <f t="shared" si="4"/>
        <v>89107</v>
      </c>
      <c r="DI12" s="161">
        <f t="shared" ref="DI12:DQ12" si="5">SUM(DI13:DI18)</f>
        <v>1085880</v>
      </c>
      <c r="DJ12" s="161">
        <f t="shared" si="5"/>
        <v>996180</v>
      </c>
      <c r="DK12" s="161">
        <f t="shared" si="5"/>
        <v>89700</v>
      </c>
      <c r="DL12" s="161">
        <f t="shared" si="5"/>
        <v>1239479</v>
      </c>
      <c r="DM12" s="161">
        <f t="shared" si="5"/>
        <v>1154328.804</v>
      </c>
      <c r="DN12" s="161">
        <f t="shared" si="5"/>
        <v>85150.062000000005</v>
      </c>
      <c r="DO12" s="161">
        <f t="shared" si="5"/>
        <v>1262274</v>
      </c>
      <c r="DP12" s="161">
        <f t="shared" si="5"/>
        <v>1191959</v>
      </c>
      <c r="DQ12" s="161">
        <f t="shared" si="5"/>
        <v>70315</v>
      </c>
      <c r="DR12" s="161">
        <f t="shared" ref="DR12:DR23" si="6">DS12+DT12</f>
        <v>1263948</v>
      </c>
      <c r="DS12" s="161">
        <f>SUM(DS13:DS18)</f>
        <v>1193672</v>
      </c>
      <c r="DT12" s="161">
        <f>SUM(DT13:DT18)</f>
        <v>70276</v>
      </c>
      <c r="DU12" s="161">
        <f t="shared" ref="DU12:DU23" si="7">DV12+DW12</f>
        <v>1261998</v>
      </c>
      <c r="DV12" s="161">
        <f>SUM(DV13:DV18)</f>
        <v>1189191</v>
      </c>
      <c r="DW12" s="161">
        <f>SUM(DW13:DW18)</f>
        <v>72807</v>
      </c>
      <c r="DX12" s="161">
        <f t="shared" ref="DX12:DX23" si="8">DY12+DZ12</f>
        <v>1281834.0120000001</v>
      </c>
      <c r="DY12" s="161">
        <f>SUM(DY13:DY18)</f>
        <v>1210069.2810000002</v>
      </c>
      <c r="DZ12" s="161">
        <f>SUM(DZ13:DZ18)</f>
        <v>71764.731</v>
      </c>
      <c r="EA12" s="377">
        <f t="shared" ref="EA12" si="9">EB12+EC12</f>
        <v>1267893</v>
      </c>
      <c r="EB12" s="377">
        <f>SUM(EB13:EB18)</f>
        <v>1198806</v>
      </c>
      <c r="EC12" s="377">
        <f>SUM(EC13:EC18)</f>
        <v>69087</v>
      </c>
    </row>
    <row r="13" spans="1:133" s="164" customFormat="1" ht="15" customHeight="1" x14ac:dyDescent="0.2">
      <c r="A13" s="433" t="s">
        <v>602</v>
      </c>
      <c r="B13" s="165">
        <f t="shared" ref="B13:B18" si="10">C13+D13</f>
        <v>4244</v>
      </c>
      <c r="C13" s="165">
        <v>4030</v>
      </c>
      <c r="D13" s="165">
        <v>214</v>
      </c>
      <c r="E13" s="165">
        <f t="shared" ref="E13:E18" si="11">F13+G13</f>
        <v>4916</v>
      </c>
      <c r="F13" s="165">
        <v>4620</v>
      </c>
      <c r="G13" s="165">
        <v>296</v>
      </c>
      <c r="H13" s="166">
        <f t="shared" ref="H13:H18" si="12">I13+J13</f>
        <v>4100</v>
      </c>
      <c r="I13" s="166">
        <v>3816</v>
      </c>
      <c r="J13" s="166">
        <v>284</v>
      </c>
      <c r="K13" s="166">
        <v>5487</v>
      </c>
      <c r="L13" s="166">
        <v>4964</v>
      </c>
      <c r="M13" s="166">
        <v>523</v>
      </c>
      <c r="N13" s="166">
        <f>O13+P13</f>
        <v>5702</v>
      </c>
      <c r="O13" s="166">
        <v>5158</v>
      </c>
      <c r="P13" s="166">
        <v>544</v>
      </c>
      <c r="Q13" s="166">
        <f>R13+S13</f>
        <v>5134</v>
      </c>
      <c r="R13" s="166">
        <v>4899</v>
      </c>
      <c r="S13" s="166">
        <v>235</v>
      </c>
      <c r="T13" s="166">
        <f>U13+V13</f>
        <v>7259</v>
      </c>
      <c r="U13" s="166">
        <v>4894</v>
      </c>
      <c r="V13" s="166">
        <v>2365</v>
      </c>
      <c r="W13" s="166">
        <f>X13+Y13</f>
        <v>9296</v>
      </c>
      <c r="X13" s="166">
        <v>5821</v>
      </c>
      <c r="Y13" s="166">
        <v>3475</v>
      </c>
      <c r="Z13" s="166">
        <f t="shared" ref="Z13:Z18" si="13">AA13+AB13</f>
        <v>7533</v>
      </c>
      <c r="AA13" s="166">
        <v>5010</v>
      </c>
      <c r="AB13" s="166">
        <v>2523</v>
      </c>
      <c r="AC13" s="166">
        <f t="shared" ref="AC13:AC18" si="14">AD13+AE13</f>
        <v>9001</v>
      </c>
      <c r="AD13" s="166">
        <v>6947</v>
      </c>
      <c r="AE13" s="166">
        <v>2054</v>
      </c>
      <c r="AF13" s="166">
        <f t="shared" ref="AF13:AF18" si="15">AG13+AH13</f>
        <v>8571</v>
      </c>
      <c r="AG13" s="166">
        <v>6455</v>
      </c>
      <c r="AH13" s="166">
        <v>2116</v>
      </c>
      <c r="AI13" s="166">
        <f t="shared" ref="AI13:AI18" si="16">AJ13+AK13</f>
        <v>6946</v>
      </c>
      <c r="AJ13" s="166">
        <v>5507</v>
      </c>
      <c r="AK13" s="166">
        <v>1439</v>
      </c>
      <c r="AL13" s="166">
        <f t="shared" ref="AL13:AL18" si="17">AM13+AN13</f>
        <v>8705</v>
      </c>
      <c r="AM13" s="166">
        <v>5210</v>
      </c>
      <c r="AN13" s="166">
        <v>3495</v>
      </c>
      <c r="AO13" s="166">
        <f t="shared" ref="AO13:AO18" si="18">AP13+AQ13</f>
        <v>6878</v>
      </c>
      <c r="AP13" s="166">
        <v>5653</v>
      </c>
      <c r="AQ13" s="166">
        <v>1225</v>
      </c>
      <c r="AR13" s="166">
        <f t="shared" ref="AR13:AR18" si="19">AS13+AT13</f>
        <v>9669</v>
      </c>
      <c r="AS13" s="166">
        <v>6307</v>
      </c>
      <c r="AT13" s="166">
        <v>3362</v>
      </c>
      <c r="AU13" s="166">
        <f t="shared" ref="AU13:AU18" si="20">AV13+AW13</f>
        <v>15738</v>
      </c>
      <c r="AV13" s="166">
        <v>13915</v>
      </c>
      <c r="AW13" s="166">
        <v>1823</v>
      </c>
      <c r="AX13" s="166">
        <f t="shared" ref="AX13:AX18" si="21">AY13+AZ13</f>
        <v>6785</v>
      </c>
      <c r="AY13" s="166">
        <v>5753</v>
      </c>
      <c r="AZ13" s="166">
        <v>1032</v>
      </c>
      <c r="BA13" s="166">
        <f t="shared" ref="BA13:BA18" si="22">BB13+BC13</f>
        <v>7715</v>
      </c>
      <c r="BB13" s="166">
        <v>5484</v>
      </c>
      <c r="BC13" s="166">
        <v>2231</v>
      </c>
      <c r="BD13" s="166">
        <f t="shared" ref="BD13:BD18" si="23">BE13+BF13</f>
        <v>10018</v>
      </c>
      <c r="BE13" s="166">
        <v>5666</v>
      </c>
      <c r="BF13" s="166">
        <v>4352</v>
      </c>
      <c r="BG13" s="166">
        <f t="shared" ref="BG13:BG18" si="24">BH13+BI13</f>
        <v>22574</v>
      </c>
      <c r="BH13" s="166">
        <v>16130</v>
      </c>
      <c r="BI13" s="166">
        <v>6444</v>
      </c>
      <c r="BJ13" s="166">
        <f t="shared" ref="BJ13:BJ18" si="25">BK13+BL13</f>
        <v>25069</v>
      </c>
      <c r="BK13" s="166">
        <v>17255</v>
      </c>
      <c r="BL13" s="166">
        <v>7814</v>
      </c>
      <c r="BM13" s="166">
        <f t="shared" ref="BM13:BM18" si="26">BN13+BO13</f>
        <v>13997</v>
      </c>
      <c r="BN13" s="166">
        <v>9321</v>
      </c>
      <c r="BO13" s="166">
        <v>4676</v>
      </c>
      <c r="BP13" s="166">
        <f t="shared" ref="BP13:BP18" si="27">BQ13+BR13</f>
        <v>12944</v>
      </c>
      <c r="BQ13" s="166">
        <v>7079</v>
      </c>
      <c r="BR13" s="166">
        <v>5865</v>
      </c>
      <c r="BS13" s="166">
        <f t="shared" ref="BS13:BS18" si="28">BT13+BU13</f>
        <v>12077</v>
      </c>
      <c r="BT13" s="166">
        <v>8930</v>
      </c>
      <c r="BU13" s="166">
        <v>3147</v>
      </c>
      <c r="BV13" s="166">
        <f t="shared" ref="BV13:BV18" si="29">BW13+BX13</f>
        <v>11347</v>
      </c>
      <c r="BW13" s="166">
        <v>8142</v>
      </c>
      <c r="BX13" s="166">
        <v>3205</v>
      </c>
      <c r="BY13" s="166">
        <f t="shared" ref="BY13:BY18" si="30">BZ13+CA13</f>
        <v>16180</v>
      </c>
      <c r="BZ13" s="166">
        <v>11618</v>
      </c>
      <c r="CA13" s="166">
        <v>4562</v>
      </c>
      <c r="CB13" s="166">
        <v>16427</v>
      </c>
      <c r="CC13" s="166">
        <v>12708</v>
      </c>
      <c r="CD13" s="166">
        <v>3719</v>
      </c>
      <c r="CE13" s="166">
        <f t="shared" ref="CE13:CE18" si="31">CF13+CG13</f>
        <v>12196</v>
      </c>
      <c r="CF13" s="166">
        <v>9232</v>
      </c>
      <c r="CG13" s="166">
        <v>2964</v>
      </c>
      <c r="CH13" s="166">
        <f t="shared" ref="CH13:CH18" si="32">CI13+CJ13</f>
        <v>12110</v>
      </c>
      <c r="CI13" s="166">
        <v>7250</v>
      </c>
      <c r="CJ13" s="166">
        <v>4860</v>
      </c>
      <c r="CK13" s="166">
        <f t="shared" ref="CK13:CK18" si="33">CL13+CM13</f>
        <v>11535</v>
      </c>
      <c r="CL13" s="166">
        <v>7651</v>
      </c>
      <c r="CM13" s="166">
        <v>3884</v>
      </c>
      <c r="CN13" s="166">
        <f t="shared" ref="CN13:CN18" si="34">CO13+CP13</f>
        <v>11316</v>
      </c>
      <c r="CO13" s="166">
        <v>7596</v>
      </c>
      <c r="CP13" s="166">
        <v>3720</v>
      </c>
      <c r="CQ13" s="166">
        <f t="shared" ref="CQ13:CQ18" si="35">CR13+CS13</f>
        <v>14645</v>
      </c>
      <c r="CR13" s="166">
        <v>10940</v>
      </c>
      <c r="CS13" s="166">
        <v>3705</v>
      </c>
      <c r="CT13" s="166">
        <f t="shared" ref="CT13:CT18" si="36">CU13+CV13</f>
        <v>13683</v>
      </c>
      <c r="CU13" s="166">
        <v>10549</v>
      </c>
      <c r="CV13" s="166">
        <v>3134</v>
      </c>
      <c r="CW13" s="166">
        <f t="shared" ref="CW13:CW18" si="37">CX13+CY13</f>
        <v>11677</v>
      </c>
      <c r="CX13" s="166">
        <v>7961</v>
      </c>
      <c r="CY13" s="166">
        <v>3716</v>
      </c>
      <c r="CZ13" s="166">
        <f t="shared" ref="CZ13:CZ18" si="38">DA13+DB13</f>
        <v>12918</v>
      </c>
      <c r="DA13" s="166">
        <v>7544</v>
      </c>
      <c r="DB13" s="166">
        <v>5374</v>
      </c>
      <c r="DC13" s="166">
        <f t="shared" ref="DC13:DC18" si="39">DD13+DE13</f>
        <v>17457</v>
      </c>
      <c r="DD13" s="166">
        <v>9372</v>
      </c>
      <c r="DE13" s="166">
        <v>8085</v>
      </c>
      <c r="DF13" s="166">
        <f t="shared" ref="DF13:DF18" si="40">DG13+DH13</f>
        <v>18660</v>
      </c>
      <c r="DG13" s="166">
        <v>8116</v>
      </c>
      <c r="DH13" s="166">
        <v>10544</v>
      </c>
      <c r="DI13" s="166">
        <f t="shared" ref="DI13:DI18" si="41">DJ13+DK13</f>
        <v>32449</v>
      </c>
      <c r="DJ13" s="166">
        <v>7554</v>
      </c>
      <c r="DK13" s="166">
        <v>24895</v>
      </c>
      <c r="DL13" s="166">
        <v>13013</v>
      </c>
      <c r="DM13" s="166">
        <v>10556.174999999999</v>
      </c>
      <c r="DN13" s="166">
        <v>2456.8130000000001</v>
      </c>
      <c r="DO13" s="166">
        <f t="shared" ref="DO13:DO22" si="42">DP13+DQ13</f>
        <v>14697</v>
      </c>
      <c r="DP13" s="166">
        <v>12611</v>
      </c>
      <c r="DQ13" s="166">
        <v>2086</v>
      </c>
      <c r="DR13" s="166">
        <f t="shared" si="6"/>
        <v>12029</v>
      </c>
      <c r="DS13" s="166">
        <v>9801</v>
      </c>
      <c r="DT13" s="166">
        <v>2228</v>
      </c>
      <c r="DU13" s="166">
        <f t="shared" si="7"/>
        <v>13525</v>
      </c>
      <c r="DV13" s="166">
        <v>9681</v>
      </c>
      <c r="DW13" s="166">
        <v>3844</v>
      </c>
      <c r="DX13" s="166">
        <v>16926.561000000002</v>
      </c>
      <c r="DY13" s="166">
        <v>14070.642</v>
      </c>
      <c r="DZ13" s="166">
        <v>2855.9189999999999</v>
      </c>
      <c r="EA13" s="374">
        <v>15224</v>
      </c>
      <c r="EB13" s="374">
        <v>13107</v>
      </c>
      <c r="EC13" s="374">
        <v>2117</v>
      </c>
    </row>
    <row r="14" spans="1:133" s="164" customFormat="1" ht="15" customHeight="1" x14ac:dyDescent="0.2">
      <c r="A14" s="433" t="s">
        <v>603</v>
      </c>
      <c r="B14" s="165">
        <f t="shared" si="10"/>
        <v>31601</v>
      </c>
      <c r="C14" s="165">
        <v>29075</v>
      </c>
      <c r="D14" s="165">
        <v>2526</v>
      </c>
      <c r="E14" s="165">
        <f t="shared" si="11"/>
        <v>27394</v>
      </c>
      <c r="F14" s="165">
        <v>26067</v>
      </c>
      <c r="G14" s="165">
        <v>1327</v>
      </c>
      <c r="H14" s="166">
        <f t="shared" si="12"/>
        <v>39856</v>
      </c>
      <c r="I14" s="166">
        <v>37643</v>
      </c>
      <c r="J14" s="166">
        <v>2213</v>
      </c>
      <c r="K14" s="166">
        <f>L14+M14</f>
        <v>37622</v>
      </c>
      <c r="L14" s="166">
        <v>35279</v>
      </c>
      <c r="M14" s="166">
        <v>2343</v>
      </c>
      <c r="N14" s="166">
        <f>O14+P14</f>
        <v>48675</v>
      </c>
      <c r="O14" s="166">
        <v>47125</v>
      </c>
      <c r="P14" s="166">
        <v>1550</v>
      </c>
      <c r="Q14" s="166">
        <f>R14+S14</f>
        <v>73692</v>
      </c>
      <c r="R14" s="166">
        <v>71747</v>
      </c>
      <c r="S14" s="166">
        <v>1945</v>
      </c>
      <c r="T14" s="166">
        <v>57351</v>
      </c>
      <c r="U14" s="166">
        <v>56435</v>
      </c>
      <c r="V14" s="166">
        <v>916</v>
      </c>
      <c r="W14" s="166">
        <f>X14+Y14</f>
        <v>74191</v>
      </c>
      <c r="X14" s="166">
        <v>68474</v>
      </c>
      <c r="Y14" s="166">
        <v>5717</v>
      </c>
      <c r="Z14" s="166">
        <f t="shared" si="13"/>
        <v>93342</v>
      </c>
      <c r="AA14" s="166">
        <v>89029</v>
      </c>
      <c r="AB14" s="166">
        <v>4313</v>
      </c>
      <c r="AC14" s="166">
        <f t="shared" si="14"/>
        <v>89636</v>
      </c>
      <c r="AD14" s="166">
        <v>87655</v>
      </c>
      <c r="AE14" s="166">
        <v>1981</v>
      </c>
      <c r="AF14" s="166">
        <f t="shared" si="15"/>
        <v>97487</v>
      </c>
      <c r="AG14" s="166">
        <v>95701</v>
      </c>
      <c r="AH14" s="166">
        <v>1786</v>
      </c>
      <c r="AI14" s="166">
        <f t="shared" si="16"/>
        <v>110797</v>
      </c>
      <c r="AJ14" s="166">
        <v>107219</v>
      </c>
      <c r="AK14" s="166">
        <v>3578</v>
      </c>
      <c r="AL14" s="166">
        <f t="shared" si="17"/>
        <v>97164</v>
      </c>
      <c r="AM14" s="166">
        <v>95389</v>
      </c>
      <c r="AN14" s="166">
        <v>1775</v>
      </c>
      <c r="AO14" s="166">
        <f t="shared" si="18"/>
        <v>96478</v>
      </c>
      <c r="AP14" s="166">
        <v>94358</v>
      </c>
      <c r="AQ14" s="166">
        <v>2120</v>
      </c>
      <c r="AR14" s="166">
        <f t="shared" si="19"/>
        <v>92567</v>
      </c>
      <c r="AS14" s="166">
        <v>90171</v>
      </c>
      <c r="AT14" s="166">
        <v>2396</v>
      </c>
      <c r="AU14" s="166">
        <f t="shared" si="20"/>
        <v>73232</v>
      </c>
      <c r="AV14" s="166">
        <v>72027</v>
      </c>
      <c r="AW14" s="166">
        <v>1205</v>
      </c>
      <c r="AX14" s="166">
        <f t="shared" si="21"/>
        <v>100160</v>
      </c>
      <c r="AY14" s="166">
        <v>98841</v>
      </c>
      <c r="AZ14" s="166">
        <v>1319</v>
      </c>
      <c r="BA14" s="166">
        <f t="shared" si="22"/>
        <v>86147</v>
      </c>
      <c r="BB14" s="166">
        <v>84704</v>
      </c>
      <c r="BC14" s="166">
        <v>1443</v>
      </c>
      <c r="BD14" s="166">
        <f t="shared" si="23"/>
        <v>85963</v>
      </c>
      <c r="BE14" s="166">
        <v>82651</v>
      </c>
      <c r="BF14" s="166">
        <v>3312</v>
      </c>
      <c r="BG14" s="166">
        <f t="shared" si="24"/>
        <v>82303</v>
      </c>
      <c r="BH14" s="166">
        <v>79598</v>
      </c>
      <c r="BI14" s="166">
        <v>2705</v>
      </c>
      <c r="BJ14" s="166">
        <f t="shared" si="25"/>
        <v>84691</v>
      </c>
      <c r="BK14" s="166">
        <v>82615</v>
      </c>
      <c r="BL14" s="166">
        <v>2076</v>
      </c>
      <c r="BM14" s="166">
        <f t="shared" si="26"/>
        <v>92858</v>
      </c>
      <c r="BN14" s="166">
        <v>89642</v>
      </c>
      <c r="BO14" s="166">
        <v>3216</v>
      </c>
      <c r="BP14" s="166">
        <f t="shared" si="27"/>
        <v>126773</v>
      </c>
      <c r="BQ14" s="166">
        <v>125290</v>
      </c>
      <c r="BR14" s="166">
        <v>1483</v>
      </c>
      <c r="BS14" s="166">
        <f t="shared" si="28"/>
        <v>151813</v>
      </c>
      <c r="BT14" s="166">
        <v>150194</v>
      </c>
      <c r="BU14" s="166">
        <v>1619</v>
      </c>
      <c r="BV14" s="166">
        <f t="shared" si="29"/>
        <v>171333</v>
      </c>
      <c r="BW14" s="166">
        <v>170095</v>
      </c>
      <c r="BX14" s="166">
        <v>1238</v>
      </c>
      <c r="BY14" s="166">
        <f t="shared" si="30"/>
        <v>147485</v>
      </c>
      <c r="BZ14" s="166">
        <v>146066</v>
      </c>
      <c r="CA14" s="166">
        <v>1419</v>
      </c>
      <c r="CB14" s="166">
        <v>144967</v>
      </c>
      <c r="CC14" s="166">
        <v>142900</v>
      </c>
      <c r="CD14" s="166">
        <v>2067</v>
      </c>
      <c r="CE14" s="166">
        <f t="shared" si="31"/>
        <v>135456</v>
      </c>
      <c r="CF14" s="166">
        <v>131873</v>
      </c>
      <c r="CG14" s="166">
        <v>3583</v>
      </c>
      <c r="CH14" s="166">
        <f t="shared" si="32"/>
        <v>127014</v>
      </c>
      <c r="CI14" s="166">
        <v>124579</v>
      </c>
      <c r="CJ14" s="166">
        <v>2435</v>
      </c>
      <c r="CK14" s="166">
        <f t="shared" si="33"/>
        <v>137653</v>
      </c>
      <c r="CL14" s="166">
        <v>135434</v>
      </c>
      <c r="CM14" s="166">
        <v>2219</v>
      </c>
      <c r="CN14" s="166">
        <f t="shared" si="34"/>
        <v>181335</v>
      </c>
      <c r="CO14" s="166">
        <v>180959</v>
      </c>
      <c r="CP14" s="166">
        <v>376</v>
      </c>
      <c r="CQ14" s="166">
        <f t="shared" si="35"/>
        <v>202412</v>
      </c>
      <c r="CR14" s="166">
        <v>201583</v>
      </c>
      <c r="CS14" s="166">
        <v>829</v>
      </c>
      <c r="CT14" s="166">
        <f t="shared" si="36"/>
        <v>195746</v>
      </c>
      <c r="CU14" s="166">
        <v>194109</v>
      </c>
      <c r="CV14" s="166">
        <v>1637</v>
      </c>
      <c r="CW14" s="166">
        <f t="shared" si="37"/>
        <v>176268</v>
      </c>
      <c r="CX14" s="166">
        <v>175140</v>
      </c>
      <c r="CY14" s="166">
        <v>1128</v>
      </c>
      <c r="CZ14" s="166">
        <f t="shared" si="38"/>
        <v>153370</v>
      </c>
      <c r="DA14" s="166">
        <v>148422</v>
      </c>
      <c r="DB14" s="166">
        <v>4948</v>
      </c>
      <c r="DC14" s="166">
        <f t="shared" si="39"/>
        <v>140457</v>
      </c>
      <c r="DD14" s="166">
        <v>138089</v>
      </c>
      <c r="DE14" s="166">
        <v>2368</v>
      </c>
      <c r="DF14" s="166">
        <f t="shared" si="40"/>
        <v>165522</v>
      </c>
      <c r="DG14" s="166">
        <v>162179</v>
      </c>
      <c r="DH14" s="166">
        <v>3343</v>
      </c>
      <c r="DI14" s="166">
        <f t="shared" si="41"/>
        <v>138817</v>
      </c>
      <c r="DJ14" s="166">
        <v>134805</v>
      </c>
      <c r="DK14" s="166">
        <v>4012</v>
      </c>
      <c r="DL14" s="166">
        <v>177168</v>
      </c>
      <c r="DM14" s="166">
        <v>169068.788</v>
      </c>
      <c r="DN14" s="166">
        <v>8099.5519999999997</v>
      </c>
      <c r="DO14" s="166">
        <f t="shared" si="42"/>
        <v>177685</v>
      </c>
      <c r="DP14" s="166">
        <v>175283</v>
      </c>
      <c r="DQ14" s="166">
        <v>2402</v>
      </c>
      <c r="DR14" s="166">
        <f t="shared" si="6"/>
        <v>188117</v>
      </c>
      <c r="DS14" s="166">
        <v>186291</v>
      </c>
      <c r="DT14" s="166">
        <v>1826</v>
      </c>
      <c r="DU14" s="166">
        <f t="shared" si="7"/>
        <v>177460</v>
      </c>
      <c r="DV14" s="166">
        <v>176210</v>
      </c>
      <c r="DW14" s="166">
        <v>1250</v>
      </c>
      <c r="DX14" s="166">
        <v>178409.53700000001</v>
      </c>
      <c r="DY14" s="166">
        <v>176453.959</v>
      </c>
      <c r="DZ14" s="166">
        <v>1955.578</v>
      </c>
      <c r="EA14" s="374">
        <v>154270</v>
      </c>
      <c r="EB14" s="374">
        <v>151952</v>
      </c>
      <c r="EC14" s="374">
        <v>2318</v>
      </c>
    </row>
    <row r="15" spans="1:133" s="164" customFormat="1" ht="15" customHeight="1" x14ac:dyDescent="0.2">
      <c r="A15" s="433" t="s">
        <v>604</v>
      </c>
      <c r="B15" s="165">
        <f t="shared" si="10"/>
        <v>97534</v>
      </c>
      <c r="C15" s="165">
        <v>91223</v>
      </c>
      <c r="D15" s="165">
        <v>6311</v>
      </c>
      <c r="E15" s="165">
        <f t="shared" si="11"/>
        <v>103578</v>
      </c>
      <c r="F15" s="165">
        <v>97022</v>
      </c>
      <c r="G15" s="165">
        <v>6556</v>
      </c>
      <c r="H15" s="166">
        <f t="shared" si="12"/>
        <v>108098</v>
      </c>
      <c r="I15" s="166">
        <v>102461</v>
      </c>
      <c r="J15" s="166">
        <v>5637</v>
      </c>
      <c r="K15" s="166">
        <f>L15+M15</f>
        <v>114452</v>
      </c>
      <c r="L15" s="166">
        <v>106849</v>
      </c>
      <c r="M15" s="166">
        <v>7603</v>
      </c>
      <c r="N15" s="166">
        <v>105167</v>
      </c>
      <c r="O15" s="166">
        <v>96824</v>
      </c>
      <c r="P15" s="166">
        <v>8343</v>
      </c>
      <c r="Q15" s="166">
        <v>118956</v>
      </c>
      <c r="R15" s="166">
        <v>110252</v>
      </c>
      <c r="S15" s="166">
        <v>8704</v>
      </c>
      <c r="T15" s="166">
        <f>U15+V15</f>
        <v>132373</v>
      </c>
      <c r="U15" s="166">
        <v>119080</v>
      </c>
      <c r="V15" s="166">
        <v>13293</v>
      </c>
      <c r="W15" s="166">
        <v>131598</v>
      </c>
      <c r="X15" s="166">
        <v>123723</v>
      </c>
      <c r="Y15" s="166">
        <v>7874</v>
      </c>
      <c r="Z15" s="166">
        <f t="shared" si="13"/>
        <v>130816</v>
      </c>
      <c r="AA15" s="166">
        <v>121253</v>
      </c>
      <c r="AB15" s="166">
        <v>9563</v>
      </c>
      <c r="AC15" s="166">
        <f t="shared" si="14"/>
        <v>146110</v>
      </c>
      <c r="AD15" s="166">
        <v>136955</v>
      </c>
      <c r="AE15" s="166">
        <v>9155</v>
      </c>
      <c r="AF15" s="166">
        <f t="shared" si="15"/>
        <v>147724</v>
      </c>
      <c r="AG15" s="166">
        <v>138611</v>
      </c>
      <c r="AH15" s="166">
        <v>9113</v>
      </c>
      <c r="AI15" s="166">
        <f t="shared" si="16"/>
        <v>146619</v>
      </c>
      <c r="AJ15" s="166">
        <v>138530</v>
      </c>
      <c r="AK15" s="166">
        <v>8089</v>
      </c>
      <c r="AL15" s="166">
        <f t="shared" si="17"/>
        <v>157309</v>
      </c>
      <c r="AM15" s="166">
        <v>149179</v>
      </c>
      <c r="AN15" s="166">
        <v>8130</v>
      </c>
      <c r="AO15" s="166">
        <f t="shared" si="18"/>
        <v>156755</v>
      </c>
      <c r="AP15" s="166">
        <v>149561</v>
      </c>
      <c r="AQ15" s="166">
        <v>7194</v>
      </c>
      <c r="AR15" s="166">
        <f t="shared" si="19"/>
        <v>196082</v>
      </c>
      <c r="AS15" s="166">
        <v>188252</v>
      </c>
      <c r="AT15" s="166">
        <v>7830</v>
      </c>
      <c r="AU15" s="166">
        <f t="shared" si="20"/>
        <v>213518</v>
      </c>
      <c r="AV15" s="166">
        <v>206380</v>
      </c>
      <c r="AW15" s="166">
        <v>7138</v>
      </c>
      <c r="AX15" s="166">
        <f t="shared" si="21"/>
        <v>217482</v>
      </c>
      <c r="AY15" s="166">
        <v>209474</v>
      </c>
      <c r="AZ15" s="166">
        <v>8008</v>
      </c>
      <c r="BA15" s="166">
        <f t="shared" si="22"/>
        <v>231425</v>
      </c>
      <c r="BB15" s="166">
        <v>223767</v>
      </c>
      <c r="BC15" s="166">
        <v>7658</v>
      </c>
      <c r="BD15" s="166">
        <f t="shared" si="23"/>
        <v>244621</v>
      </c>
      <c r="BE15" s="166">
        <v>235564</v>
      </c>
      <c r="BF15" s="166">
        <v>9057</v>
      </c>
      <c r="BG15" s="166">
        <f t="shared" si="24"/>
        <v>265723</v>
      </c>
      <c r="BH15" s="166">
        <v>256920</v>
      </c>
      <c r="BI15" s="166">
        <v>8803</v>
      </c>
      <c r="BJ15" s="166">
        <f t="shared" si="25"/>
        <v>294959</v>
      </c>
      <c r="BK15" s="166">
        <v>285681</v>
      </c>
      <c r="BL15" s="166">
        <v>9278</v>
      </c>
      <c r="BM15" s="166">
        <f t="shared" si="26"/>
        <v>322507</v>
      </c>
      <c r="BN15" s="166">
        <v>311345</v>
      </c>
      <c r="BO15" s="166">
        <v>11162</v>
      </c>
      <c r="BP15" s="166">
        <f t="shared" si="27"/>
        <v>319537</v>
      </c>
      <c r="BQ15" s="166">
        <v>307708</v>
      </c>
      <c r="BR15" s="166">
        <v>11829</v>
      </c>
      <c r="BS15" s="166">
        <f t="shared" si="28"/>
        <v>315487</v>
      </c>
      <c r="BT15" s="166">
        <v>303295</v>
      </c>
      <c r="BU15" s="166">
        <v>12192</v>
      </c>
      <c r="BV15" s="166">
        <f t="shared" si="29"/>
        <v>300600</v>
      </c>
      <c r="BW15" s="166">
        <v>288904</v>
      </c>
      <c r="BX15" s="166">
        <v>11696</v>
      </c>
      <c r="BY15" s="166">
        <f t="shared" si="30"/>
        <v>309027</v>
      </c>
      <c r="BZ15" s="166">
        <v>296821</v>
      </c>
      <c r="CA15" s="166">
        <v>12206</v>
      </c>
      <c r="CB15" s="166">
        <v>313679</v>
      </c>
      <c r="CC15" s="166">
        <v>301274</v>
      </c>
      <c r="CD15" s="166">
        <v>12405</v>
      </c>
      <c r="CE15" s="166">
        <f t="shared" si="31"/>
        <v>313328</v>
      </c>
      <c r="CF15" s="166">
        <v>300781</v>
      </c>
      <c r="CG15" s="166">
        <v>12547</v>
      </c>
      <c r="CH15" s="166">
        <f t="shared" si="32"/>
        <v>321971</v>
      </c>
      <c r="CI15" s="166">
        <v>307574</v>
      </c>
      <c r="CJ15" s="166">
        <v>14397</v>
      </c>
      <c r="CK15" s="166">
        <f t="shared" si="33"/>
        <v>333200</v>
      </c>
      <c r="CL15" s="166">
        <v>319426</v>
      </c>
      <c r="CM15" s="166">
        <v>13774</v>
      </c>
      <c r="CN15" s="166">
        <f t="shared" si="34"/>
        <v>343445</v>
      </c>
      <c r="CO15" s="166">
        <v>328690</v>
      </c>
      <c r="CP15" s="166">
        <v>14755</v>
      </c>
      <c r="CQ15" s="166">
        <f t="shared" si="35"/>
        <v>346358</v>
      </c>
      <c r="CR15" s="166">
        <v>332334</v>
      </c>
      <c r="CS15" s="166">
        <v>14024</v>
      </c>
      <c r="CT15" s="166">
        <f t="shared" si="36"/>
        <v>344430</v>
      </c>
      <c r="CU15" s="166">
        <v>328121</v>
      </c>
      <c r="CV15" s="166">
        <v>16309</v>
      </c>
      <c r="CW15" s="166">
        <f t="shared" si="37"/>
        <v>356115</v>
      </c>
      <c r="CX15" s="166">
        <v>340222</v>
      </c>
      <c r="CY15" s="166">
        <v>15893</v>
      </c>
      <c r="CZ15" s="166">
        <f t="shared" si="38"/>
        <v>364471</v>
      </c>
      <c r="DA15" s="166">
        <v>344555</v>
      </c>
      <c r="DB15" s="166">
        <v>19916</v>
      </c>
      <c r="DC15" s="166">
        <f t="shared" si="39"/>
        <v>407584</v>
      </c>
      <c r="DD15" s="166">
        <v>389487</v>
      </c>
      <c r="DE15" s="166">
        <v>18097</v>
      </c>
      <c r="DF15" s="166">
        <f t="shared" si="40"/>
        <v>414926</v>
      </c>
      <c r="DG15" s="166">
        <v>398020</v>
      </c>
      <c r="DH15" s="166">
        <v>16906</v>
      </c>
      <c r="DI15" s="166">
        <f t="shared" si="41"/>
        <v>437580</v>
      </c>
      <c r="DJ15" s="166">
        <v>421295</v>
      </c>
      <c r="DK15" s="166">
        <v>16285</v>
      </c>
      <c r="DL15" s="166">
        <v>509184</v>
      </c>
      <c r="DM15" s="166">
        <v>492530.63900000002</v>
      </c>
      <c r="DN15" s="166">
        <v>16653.542000000001</v>
      </c>
      <c r="DO15" s="166">
        <f t="shared" si="42"/>
        <v>549873</v>
      </c>
      <c r="DP15" s="166">
        <v>535074</v>
      </c>
      <c r="DQ15" s="166">
        <v>14799</v>
      </c>
      <c r="DR15" s="166">
        <f t="shared" si="6"/>
        <v>549701</v>
      </c>
      <c r="DS15" s="166">
        <v>535243</v>
      </c>
      <c r="DT15" s="166">
        <v>14458</v>
      </c>
      <c r="DU15" s="166">
        <f t="shared" si="7"/>
        <v>540106</v>
      </c>
      <c r="DV15" s="166">
        <v>520986</v>
      </c>
      <c r="DW15" s="166">
        <v>19120</v>
      </c>
      <c r="DX15" s="166">
        <v>572099.29599999997</v>
      </c>
      <c r="DY15" s="166">
        <v>552872.18000000005</v>
      </c>
      <c r="DZ15" s="166">
        <v>19227.116000000002</v>
      </c>
      <c r="EA15" s="374">
        <v>584650</v>
      </c>
      <c r="EB15" s="374">
        <v>564697</v>
      </c>
      <c r="EC15" s="374">
        <v>19953</v>
      </c>
    </row>
    <row r="16" spans="1:133" s="164" customFormat="1" ht="15" customHeight="1" x14ac:dyDescent="0.2">
      <c r="A16" s="433" t="s">
        <v>605</v>
      </c>
      <c r="B16" s="165">
        <f t="shared" si="10"/>
        <v>19641</v>
      </c>
      <c r="C16" s="165">
        <v>19626</v>
      </c>
      <c r="D16" s="165">
        <v>15</v>
      </c>
      <c r="E16" s="165">
        <f t="shared" si="11"/>
        <v>20257</v>
      </c>
      <c r="F16" s="165">
        <v>20247</v>
      </c>
      <c r="G16" s="165">
        <v>10</v>
      </c>
      <c r="H16" s="166">
        <f t="shared" si="12"/>
        <v>20967</v>
      </c>
      <c r="I16" s="166">
        <v>20956</v>
      </c>
      <c r="J16" s="166">
        <v>11</v>
      </c>
      <c r="K16" s="166">
        <f>L16+M16</f>
        <v>24466</v>
      </c>
      <c r="L16" s="166">
        <v>24455</v>
      </c>
      <c r="M16" s="166">
        <v>11</v>
      </c>
      <c r="N16" s="166">
        <v>24615</v>
      </c>
      <c r="O16" s="166">
        <v>24603</v>
      </c>
      <c r="P16" s="166">
        <v>12</v>
      </c>
      <c r="Q16" s="166">
        <f>R16+S16</f>
        <v>26163</v>
      </c>
      <c r="R16" s="166">
        <v>26153</v>
      </c>
      <c r="S16" s="166">
        <v>10</v>
      </c>
      <c r="T16" s="166">
        <f>U16+V16</f>
        <v>27081</v>
      </c>
      <c r="U16" s="166">
        <v>27081</v>
      </c>
      <c r="V16" s="166">
        <v>0</v>
      </c>
      <c r="W16" s="166">
        <f>X16+Y16</f>
        <v>13804</v>
      </c>
      <c r="X16" s="166">
        <v>13759</v>
      </c>
      <c r="Y16" s="166">
        <v>45</v>
      </c>
      <c r="Z16" s="166">
        <f t="shared" si="13"/>
        <v>15691</v>
      </c>
      <c r="AA16" s="166">
        <v>15381</v>
      </c>
      <c r="AB16" s="166">
        <v>310</v>
      </c>
      <c r="AC16" s="166">
        <f t="shared" si="14"/>
        <v>16620</v>
      </c>
      <c r="AD16" s="166">
        <v>16127</v>
      </c>
      <c r="AE16" s="166">
        <v>493</v>
      </c>
      <c r="AF16" s="166">
        <f t="shared" si="15"/>
        <v>17718</v>
      </c>
      <c r="AG16" s="166">
        <v>17292</v>
      </c>
      <c r="AH16" s="166">
        <v>426</v>
      </c>
      <c r="AI16" s="166">
        <f t="shared" si="16"/>
        <v>18723</v>
      </c>
      <c r="AJ16" s="166">
        <v>18350</v>
      </c>
      <c r="AK16" s="166">
        <v>373</v>
      </c>
      <c r="AL16" s="166">
        <f t="shared" si="17"/>
        <v>36674</v>
      </c>
      <c r="AM16" s="166">
        <v>36254</v>
      </c>
      <c r="AN16" s="166">
        <v>420</v>
      </c>
      <c r="AO16" s="166">
        <f t="shared" si="18"/>
        <v>50426</v>
      </c>
      <c r="AP16" s="166">
        <v>50073</v>
      </c>
      <c r="AQ16" s="166">
        <v>353</v>
      </c>
      <c r="AR16" s="166">
        <f t="shared" si="19"/>
        <v>50781</v>
      </c>
      <c r="AS16" s="166">
        <v>50781</v>
      </c>
      <c r="AT16" s="166">
        <v>0</v>
      </c>
      <c r="AU16" s="166">
        <f t="shared" si="20"/>
        <v>66326</v>
      </c>
      <c r="AV16" s="166">
        <v>66326</v>
      </c>
      <c r="AW16" s="166">
        <v>0</v>
      </c>
      <c r="AX16" s="166">
        <f t="shared" si="21"/>
        <v>67291</v>
      </c>
      <c r="AY16" s="166">
        <v>67291</v>
      </c>
      <c r="AZ16" s="166">
        <v>0</v>
      </c>
      <c r="BA16" s="166">
        <f t="shared" si="22"/>
        <v>67033</v>
      </c>
      <c r="BB16" s="166">
        <v>67033</v>
      </c>
      <c r="BC16" s="166">
        <v>0</v>
      </c>
      <c r="BD16" s="166">
        <f t="shared" si="23"/>
        <v>71951</v>
      </c>
      <c r="BE16" s="166">
        <v>71951</v>
      </c>
      <c r="BF16" s="166">
        <v>0</v>
      </c>
      <c r="BG16" s="166">
        <f t="shared" si="24"/>
        <v>72906</v>
      </c>
      <c r="BH16" s="166">
        <v>72906</v>
      </c>
      <c r="BI16" s="166">
        <v>0</v>
      </c>
      <c r="BJ16" s="166">
        <f t="shared" si="25"/>
        <v>61576</v>
      </c>
      <c r="BK16" s="166">
        <v>61576</v>
      </c>
      <c r="BL16" s="166">
        <v>0</v>
      </c>
      <c r="BM16" s="166">
        <f t="shared" si="26"/>
        <v>62510</v>
      </c>
      <c r="BN16" s="166">
        <v>62510</v>
      </c>
      <c r="BO16" s="166">
        <v>0</v>
      </c>
      <c r="BP16" s="166">
        <f t="shared" si="27"/>
        <v>56276</v>
      </c>
      <c r="BQ16" s="166">
        <v>56276</v>
      </c>
      <c r="BR16" s="166">
        <v>0</v>
      </c>
      <c r="BS16" s="166">
        <f t="shared" si="28"/>
        <v>49762</v>
      </c>
      <c r="BT16" s="166">
        <v>49762</v>
      </c>
      <c r="BU16" s="166">
        <v>0</v>
      </c>
      <c r="BV16" s="166">
        <f t="shared" si="29"/>
        <v>52769</v>
      </c>
      <c r="BW16" s="166">
        <v>52769</v>
      </c>
      <c r="BX16" s="166">
        <v>0</v>
      </c>
      <c r="BY16" s="166">
        <f t="shared" si="30"/>
        <v>52149</v>
      </c>
      <c r="BZ16" s="166">
        <v>52149</v>
      </c>
      <c r="CA16" s="166">
        <v>0</v>
      </c>
      <c r="CB16" s="166">
        <v>52121</v>
      </c>
      <c r="CC16" s="166">
        <v>52121</v>
      </c>
      <c r="CD16" s="166">
        <v>0</v>
      </c>
      <c r="CE16" s="166">
        <f t="shared" si="31"/>
        <v>56995</v>
      </c>
      <c r="CF16" s="166">
        <v>56995</v>
      </c>
      <c r="CG16" s="166">
        <v>0</v>
      </c>
      <c r="CH16" s="166">
        <f t="shared" si="32"/>
        <v>61740</v>
      </c>
      <c r="CI16" s="166">
        <v>61740</v>
      </c>
      <c r="CJ16" s="166">
        <v>0</v>
      </c>
      <c r="CK16" s="166">
        <f t="shared" si="33"/>
        <v>56116</v>
      </c>
      <c r="CL16" s="166">
        <v>56116</v>
      </c>
      <c r="CM16" s="166">
        <v>0</v>
      </c>
      <c r="CN16" s="166">
        <f t="shared" si="34"/>
        <v>48539</v>
      </c>
      <c r="CO16" s="166">
        <v>48539</v>
      </c>
      <c r="CP16" s="166">
        <v>0</v>
      </c>
      <c r="CQ16" s="166">
        <f t="shared" si="35"/>
        <v>52004</v>
      </c>
      <c r="CR16" s="166">
        <v>52004</v>
      </c>
      <c r="CS16" s="166">
        <v>0</v>
      </c>
      <c r="CT16" s="166">
        <f t="shared" si="36"/>
        <v>48464</v>
      </c>
      <c r="CU16" s="166">
        <v>48464</v>
      </c>
      <c r="CV16" s="166">
        <v>0</v>
      </c>
      <c r="CW16" s="166">
        <f t="shared" si="37"/>
        <v>50800</v>
      </c>
      <c r="CX16" s="166">
        <v>50800</v>
      </c>
      <c r="CY16" s="166">
        <v>0</v>
      </c>
      <c r="CZ16" s="166">
        <f t="shared" si="38"/>
        <v>54179</v>
      </c>
      <c r="DA16" s="166">
        <v>54179</v>
      </c>
      <c r="DB16" s="166">
        <v>0</v>
      </c>
      <c r="DC16" s="166">
        <f t="shared" si="39"/>
        <v>55728</v>
      </c>
      <c r="DD16" s="166">
        <v>55728</v>
      </c>
      <c r="DE16" s="166">
        <v>0</v>
      </c>
      <c r="DF16" s="166">
        <f t="shared" si="40"/>
        <v>51474</v>
      </c>
      <c r="DG16" s="166">
        <v>51474</v>
      </c>
      <c r="DH16" s="166">
        <v>0</v>
      </c>
      <c r="DI16" s="166">
        <f t="shared" si="41"/>
        <v>50021</v>
      </c>
      <c r="DJ16" s="166">
        <v>50021</v>
      </c>
      <c r="DK16" s="166">
        <v>0</v>
      </c>
      <c r="DL16" s="166">
        <v>64721</v>
      </c>
      <c r="DM16" s="166">
        <v>64721.487999999998</v>
      </c>
      <c r="DN16" s="166">
        <v>0</v>
      </c>
      <c r="DO16" s="166">
        <f t="shared" si="42"/>
        <v>59007</v>
      </c>
      <c r="DP16" s="166">
        <v>59007</v>
      </c>
      <c r="DQ16" s="166">
        <v>0</v>
      </c>
      <c r="DR16" s="166">
        <f t="shared" si="6"/>
        <v>63595</v>
      </c>
      <c r="DS16" s="166">
        <v>63595</v>
      </c>
      <c r="DT16" s="166">
        <v>0</v>
      </c>
      <c r="DU16" s="166">
        <f t="shared" si="7"/>
        <v>69747</v>
      </c>
      <c r="DV16" s="166">
        <v>69747</v>
      </c>
      <c r="DW16" s="166">
        <v>0</v>
      </c>
      <c r="DX16" s="166">
        <v>70151.510999999999</v>
      </c>
      <c r="DY16" s="166">
        <v>70151.510999999999</v>
      </c>
      <c r="DZ16" s="166">
        <v>0</v>
      </c>
      <c r="EA16" s="374">
        <v>68197</v>
      </c>
      <c r="EB16" s="374">
        <v>68197</v>
      </c>
      <c r="EC16" s="374">
        <v>0</v>
      </c>
    </row>
    <row r="17" spans="1:133" s="164" customFormat="1" ht="15" customHeight="1" x14ac:dyDescent="0.2">
      <c r="A17" s="433" t="s">
        <v>606</v>
      </c>
      <c r="B17" s="165">
        <f t="shared" si="10"/>
        <v>88436</v>
      </c>
      <c r="C17" s="165">
        <v>78775</v>
      </c>
      <c r="D17" s="165">
        <v>9661</v>
      </c>
      <c r="E17" s="165">
        <f t="shared" si="11"/>
        <v>94671</v>
      </c>
      <c r="F17" s="165">
        <v>83784</v>
      </c>
      <c r="G17" s="165">
        <v>10887</v>
      </c>
      <c r="H17" s="166">
        <f t="shared" si="12"/>
        <v>102294</v>
      </c>
      <c r="I17" s="166">
        <v>91003</v>
      </c>
      <c r="J17" s="166">
        <v>11291</v>
      </c>
      <c r="K17" s="166">
        <f>L17+M17</f>
        <v>116258</v>
      </c>
      <c r="L17" s="166">
        <v>104206</v>
      </c>
      <c r="M17" s="166">
        <v>12052</v>
      </c>
      <c r="N17" s="166">
        <f>O17+P17</f>
        <v>123108</v>
      </c>
      <c r="O17" s="166">
        <v>110965</v>
      </c>
      <c r="P17" s="166">
        <v>12143</v>
      </c>
      <c r="Q17" s="166">
        <f>R17+S17</f>
        <v>131791</v>
      </c>
      <c r="R17" s="166">
        <v>120831</v>
      </c>
      <c r="S17" s="166">
        <v>10960</v>
      </c>
      <c r="T17" s="166">
        <v>144348</v>
      </c>
      <c r="U17" s="166">
        <v>130409</v>
      </c>
      <c r="V17" s="166">
        <v>13939</v>
      </c>
      <c r="W17" s="166">
        <v>150545</v>
      </c>
      <c r="X17" s="166">
        <v>136717</v>
      </c>
      <c r="Y17" s="166">
        <v>13829</v>
      </c>
      <c r="Z17" s="166">
        <f t="shared" si="13"/>
        <v>150045</v>
      </c>
      <c r="AA17" s="166">
        <v>136254</v>
      </c>
      <c r="AB17" s="166">
        <v>13791</v>
      </c>
      <c r="AC17" s="166">
        <f t="shared" si="14"/>
        <v>146815</v>
      </c>
      <c r="AD17" s="166">
        <v>134398</v>
      </c>
      <c r="AE17" s="166">
        <v>12417</v>
      </c>
      <c r="AF17" s="166">
        <f t="shared" si="15"/>
        <v>149306</v>
      </c>
      <c r="AG17" s="166">
        <v>137206</v>
      </c>
      <c r="AH17" s="166">
        <v>12100</v>
      </c>
      <c r="AI17" s="166">
        <f t="shared" si="16"/>
        <v>157458</v>
      </c>
      <c r="AJ17" s="166">
        <v>143037</v>
      </c>
      <c r="AK17" s="166">
        <v>14421</v>
      </c>
      <c r="AL17" s="166">
        <f t="shared" si="17"/>
        <v>166396</v>
      </c>
      <c r="AM17" s="166">
        <v>150923</v>
      </c>
      <c r="AN17" s="166">
        <v>15473</v>
      </c>
      <c r="AO17" s="166">
        <f t="shared" si="18"/>
        <v>176180</v>
      </c>
      <c r="AP17" s="166">
        <v>159376</v>
      </c>
      <c r="AQ17" s="166">
        <v>16804</v>
      </c>
      <c r="AR17" s="166">
        <f t="shared" si="19"/>
        <v>184808</v>
      </c>
      <c r="AS17" s="166">
        <v>168619</v>
      </c>
      <c r="AT17" s="166">
        <v>16189</v>
      </c>
      <c r="AU17" s="166">
        <f t="shared" si="20"/>
        <v>197890</v>
      </c>
      <c r="AV17" s="166">
        <v>178534</v>
      </c>
      <c r="AW17" s="166">
        <v>19356</v>
      </c>
      <c r="AX17" s="166">
        <f t="shared" si="21"/>
        <v>206278</v>
      </c>
      <c r="AY17" s="166">
        <v>185823</v>
      </c>
      <c r="AZ17" s="166">
        <v>20455</v>
      </c>
      <c r="BA17" s="166">
        <f t="shared" si="22"/>
        <v>215147</v>
      </c>
      <c r="BB17" s="166">
        <v>194133</v>
      </c>
      <c r="BC17" s="166">
        <v>21014</v>
      </c>
      <c r="BD17" s="166">
        <f t="shared" si="23"/>
        <v>223351</v>
      </c>
      <c r="BE17" s="166">
        <v>198574</v>
      </c>
      <c r="BF17" s="166">
        <v>24777</v>
      </c>
      <c r="BG17" s="166">
        <f t="shared" si="24"/>
        <v>229889</v>
      </c>
      <c r="BH17" s="166">
        <v>205475</v>
      </c>
      <c r="BI17" s="166">
        <v>24414</v>
      </c>
      <c r="BJ17" s="166">
        <f t="shared" si="25"/>
        <v>230757</v>
      </c>
      <c r="BK17" s="166">
        <v>207729</v>
      </c>
      <c r="BL17" s="166">
        <v>23028</v>
      </c>
      <c r="BM17" s="166">
        <f t="shared" si="26"/>
        <v>238276</v>
      </c>
      <c r="BN17" s="166">
        <v>213285</v>
      </c>
      <c r="BO17" s="166">
        <v>24991</v>
      </c>
      <c r="BP17" s="166">
        <f t="shared" si="27"/>
        <v>242563</v>
      </c>
      <c r="BQ17" s="166">
        <v>216356</v>
      </c>
      <c r="BR17" s="166">
        <v>26207</v>
      </c>
      <c r="BS17" s="166">
        <f t="shared" si="28"/>
        <v>247476</v>
      </c>
      <c r="BT17" s="166">
        <v>220839</v>
      </c>
      <c r="BU17" s="166">
        <v>26637</v>
      </c>
      <c r="BV17" s="166">
        <f t="shared" si="29"/>
        <v>255454</v>
      </c>
      <c r="BW17" s="166">
        <v>229490</v>
      </c>
      <c r="BX17" s="166">
        <v>25964</v>
      </c>
      <c r="BY17" s="166">
        <f t="shared" si="30"/>
        <v>261401</v>
      </c>
      <c r="BZ17" s="166">
        <v>233407</v>
      </c>
      <c r="CA17" s="166">
        <v>27994</v>
      </c>
      <c r="CB17" s="166">
        <v>266319</v>
      </c>
      <c r="CC17" s="166">
        <v>237354</v>
      </c>
      <c r="CD17" s="166">
        <v>28965</v>
      </c>
      <c r="CE17" s="166">
        <f t="shared" si="31"/>
        <v>276108</v>
      </c>
      <c r="CF17" s="166">
        <v>243034</v>
      </c>
      <c r="CG17" s="166">
        <v>33074</v>
      </c>
      <c r="CH17" s="166">
        <f t="shared" si="32"/>
        <v>281678</v>
      </c>
      <c r="CI17" s="166">
        <v>248801</v>
      </c>
      <c r="CJ17" s="166">
        <v>32877</v>
      </c>
      <c r="CK17" s="166">
        <f t="shared" si="33"/>
        <v>281652</v>
      </c>
      <c r="CL17" s="166">
        <v>251485</v>
      </c>
      <c r="CM17" s="166">
        <v>30167</v>
      </c>
      <c r="CN17" s="166">
        <f t="shared" si="34"/>
        <v>287875</v>
      </c>
      <c r="CO17" s="166">
        <v>253646</v>
      </c>
      <c r="CP17" s="166">
        <v>34229</v>
      </c>
      <c r="CQ17" s="166">
        <f t="shared" si="35"/>
        <v>296407</v>
      </c>
      <c r="CR17" s="166">
        <v>259365</v>
      </c>
      <c r="CS17" s="166">
        <v>37042</v>
      </c>
      <c r="CT17" s="166">
        <f t="shared" si="36"/>
        <v>302355</v>
      </c>
      <c r="CU17" s="166">
        <v>259434</v>
      </c>
      <c r="CV17" s="166">
        <v>42921</v>
      </c>
      <c r="CW17" s="166">
        <f t="shared" si="37"/>
        <v>303795</v>
      </c>
      <c r="CX17" s="166">
        <v>261657</v>
      </c>
      <c r="CY17" s="166">
        <v>42138</v>
      </c>
      <c r="CZ17" s="166">
        <f t="shared" si="38"/>
        <v>309735</v>
      </c>
      <c r="DA17" s="166">
        <v>257938</v>
      </c>
      <c r="DB17" s="166">
        <v>51797</v>
      </c>
      <c r="DC17" s="166">
        <f t="shared" si="39"/>
        <v>306258</v>
      </c>
      <c r="DD17" s="166">
        <v>256010</v>
      </c>
      <c r="DE17" s="166">
        <v>50248</v>
      </c>
      <c r="DF17" s="166">
        <f t="shared" si="40"/>
        <v>291845</v>
      </c>
      <c r="DG17" s="166">
        <v>249402</v>
      </c>
      <c r="DH17" s="166">
        <v>42443</v>
      </c>
      <c r="DI17" s="166">
        <f t="shared" si="41"/>
        <v>280123</v>
      </c>
      <c r="DJ17" s="166">
        <v>246320</v>
      </c>
      <c r="DK17" s="166">
        <v>33803</v>
      </c>
      <c r="DL17" s="166">
        <v>320350</v>
      </c>
      <c r="DM17" s="166">
        <v>280471.92</v>
      </c>
      <c r="DN17" s="166">
        <v>39877.957000000002</v>
      </c>
      <c r="DO17" s="166">
        <f t="shared" si="42"/>
        <v>312993</v>
      </c>
      <c r="DP17" s="166">
        <v>275034</v>
      </c>
      <c r="DQ17" s="166">
        <v>37959</v>
      </c>
      <c r="DR17" s="166">
        <f t="shared" si="6"/>
        <v>302824</v>
      </c>
      <c r="DS17" s="166">
        <v>268551</v>
      </c>
      <c r="DT17" s="166">
        <v>34273</v>
      </c>
      <c r="DU17" s="166">
        <f t="shared" si="7"/>
        <v>298616</v>
      </c>
      <c r="DV17" s="166">
        <v>265319</v>
      </c>
      <c r="DW17" s="166">
        <v>33297</v>
      </c>
      <c r="DX17" s="166">
        <v>292883.86300000001</v>
      </c>
      <c r="DY17" s="166">
        <v>261983.37700000001</v>
      </c>
      <c r="DZ17" s="166">
        <v>30900.486000000001</v>
      </c>
      <c r="EA17" s="374">
        <v>289756</v>
      </c>
      <c r="EB17" s="374">
        <v>259550</v>
      </c>
      <c r="EC17" s="374">
        <v>30206</v>
      </c>
    </row>
    <row r="18" spans="1:133" s="164" customFormat="1" ht="15" customHeight="1" x14ac:dyDescent="0.2">
      <c r="A18" s="433" t="s">
        <v>607</v>
      </c>
      <c r="B18" s="165">
        <f t="shared" si="10"/>
        <v>36394</v>
      </c>
      <c r="C18" s="165">
        <v>25760</v>
      </c>
      <c r="D18" s="165">
        <v>10634</v>
      </c>
      <c r="E18" s="165">
        <f t="shared" si="11"/>
        <v>35670</v>
      </c>
      <c r="F18" s="165">
        <v>26047</v>
      </c>
      <c r="G18" s="165">
        <v>9623</v>
      </c>
      <c r="H18" s="166">
        <f t="shared" si="12"/>
        <v>38145</v>
      </c>
      <c r="I18" s="166">
        <v>28762</v>
      </c>
      <c r="J18" s="166">
        <v>9383</v>
      </c>
      <c r="K18" s="166">
        <v>37936</v>
      </c>
      <c r="L18" s="166">
        <v>28865</v>
      </c>
      <c r="M18" s="166">
        <v>9071</v>
      </c>
      <c r="N18" s="166">
        <v>42905</v>
      </c>
      <c r="O18" s="166">
        <v>31036</v>
      </c>
      <c r="P18" s="166">
        <v>11869</v>
      </c>
      <c r="Q18" s="166">
        <v>42010</v>
      </c>
      <c r="R18" s="166">
        <v>31823</v>
      </c>
      <c r="S18" s="166">
        <v>10187</v>
      </c>
      <c r="T18" s="166">
        <v>47749</v>
      </c>
      <c r="U18" s="166">
        <v>36092</v>
      </c>
      <c r="V18" s="166">
        <v>11657</v>
      </c>
      <c r="W18" s="166">
        <v>67368</v>
      </c>
      <c r="X18" s="166">
        <v>49277</v>
      </c>
      <c r="Y18" s="166">
        <v>18091</v>
      </c>
      <c r="Z18" s="166">
        <f t="shared" si="13"/>
        <v>76697</v>
      </c>
      <c r="AA18" s="166">
        <v>54318</v>
      </c>
      <c r="AB18" s="166">
        <v>22379</v>
      </c>
      <c r="AC18" s="166">
        <f t="shared" si="14"/>
        <v>66119</v>
      </c>
      <c r="AD18" s="166">
        <v>51869</v>
      </c>
      <c r="AE18" s="166">
        <v>14250</v>
      </c>
      <c r="AF18" s="166">
        <f t="shared" si="15"/>
        <v>56651</v>
      </c>
      <c r="AG18" s="166">
        <v>46443</v>
      </c>
      <c r="AH18" s="166">
        <v>10208</v>
      </c>
      <c r="AI18" s="166">
        <f t="shared" si="16"/>
        <v>55484</v>
      </c>
      <c r="AJ18" s="166">
        <v>48369</v>
      </c>
      <c r="AK18" s="166">
        <v>7115</v>
      </c>
      <c r="AL18" s="166">
        <f t="shared" si="17"/>
        <v>56462</v>
      </c>
      <c r="AM18" s="166">
        <v>47978</v>
      </c>
      <c r="AN18" s="166">
        <v>8484</v>
      </c>
      <c r="AO18" s="166">
        <f t="shared" si="18"/>
        <v>61151</v>
      </c>
      <c r="AP18" s="166">
        <v>51568</v>
      </c>
      <c r="AQ18" s="166">
        <v>9583</v>
      </c>
      <c r="AR18" s="166">
        <f t="shared" si="19"/>
        <v>67273</v>
      </c>
      <c r="AS18" s="166">
        <v>54731</v>
      </c>
      <c r="AT18" s="166">
        <v>12542</v>
      </c>
      <c r="AU18" s="166">
        <f t="shared" si="20"/>
        <v>59079</v>
      </c>
      <c r="AV18" s="166">
        <v>51817</v>
      </c>
      <c r="AW18" s="166">
        <v>7262</v>
      </c>
      <c r="AX18" s="166">
        <f t="shared" si="21"/>
        <v>65603</v>
      </c>
      <c r="AY18" s="166">
        <v>53918</v>
      </c>
      <c r="AZ18" s="166">
        <v>11685</v>
      </c>
      <c r="BA18" s="166">
        <f t="shared" si="22"/>
        <v>70104</v>
      </c>
      <c r="BB18" s="166">
        <v>57699</v>
      </c>
      <c r="BC18" s="166">
        <v>12405</v>
      </c>
      <c r="BD18" s="166">
        <f t="shared" si="23"/>
        <v>74334</v>
      </c>
      <c r="BE18" s="166">
        <v>62720</v>
      </c>
      <c r="BF18" s="166">
        <v>11614</v>
      </c>
      <c r="BG18" s="166">
        <f t="shared" si="24"/>
        <v>72695</v>
      </c>
      <c r="BH18" s="166">
        <v>63259</v>
      </c>
      <c r="BI18" s="166">
        <v>9436</v>
      </c>
      <c r="BJ18" s="166">
        <f t="shared" si="25"/>
        <v>76844</v>
      </c>
      <c r="BK18" s="166">
        <v>66079</v>
      </c>
      <c r="BL18" s="166">
        <v>10765</v>
      </c>
      <c r="BM18" s="166">
        <f t="shared" si="26"/>
        <v>84915</v>
      </c>
      <c r="BN18" s="166">
        <v>73166</v>
      </c>
      <c r="BO18" s="166">
        <v>11749</v>
      </c>
      <c r="BP18" s="166">
        <f t="shared" si="27"/>
        <v>82203</v>
      </c>
      <c r="BQ18" s="166">
        <v>71998</v>
      </c>
      <c r="BR18" s="166">
        <v>10205</v>
      </c>
      <c r="BS18" s="166">
        <f t="shared" si="28"/>
        <v>87664</v>
      </c>
      <c r="BT18" s="166">
        <v>79477</v>
      </c>
      <c r="BU18" s="166">
        <v>8187</v>
      </c>
      <c r="BV18" s="166">
        <f t="shared" si="29"/>
        <v>87688</v>
      </c>
      <c r="BW18" s="166">
        <v>77681</v>
      </c>
      <c r="BX18" s="166">
        <v>10007</v>
      </c>
      <c r="BY18" s="166">
        <f t="shared" si="30"/>
        <v>94879</v>
      </c>
      <c r="BZ18" s="166">
        <v>83875</v>
      </c>
      <c r="CA18" s="166">
        <v>11004</v>
      </c>
      <c r="CB18" s="166">
        <v>98850</v>
      </c>
      <c r="CC18" s="166">
        <v>87316</v>
      </c>
      <c r="CD18" s="166">
        <v>11534</v>
      </c>
      <c r="CE18" s="166">
        <f t="shared" si="31"/>
        <v>98413</v>
      </c>
      <c r="CF18" s="166">
        <v>89721</v>
      </c>
      <c r="CG18" s="166">
        <v>8692</v>
      </c>
      <c r="CH18" s="166">
        <f t="shared" si="32"/>
        <v>102248</v>
      </c>
      <c r="CI18" s="166">
        <v>89872</v>
      </c>
      <c r="CJ18" s="166">
        <v>12376</v>
      </c>
      <c r="CK18" s="166">
        <f t="shared" si="33"/>
        <v>95830</v>
      </c>
      <c r="CL18" s="166">
        <v>86917</v>
      </c>
      <c r="CM18" s="166">
        <v>8913</v>
      </c>
      <c r="CN18" s="166">
        <f t="shared" si="34"/>
        <v>99804</v>
      </c>
      <c r="CO18" s="166">
        <v>90022</v>
      </c>
      <c r="CP18" s="166">
        <v>9782</v>
      </c>
      <c r="CQ18" s="166">
        <f t="shared" si="35"/>
        <v>105143</v>
      </c>
      <c r="CR18" s="166">
        <v>94955</v>
      </c>
      <c r="CS18" s="166">
        <v>10188</v>
      </c>
      <c r="CT18" s="166">
        <f t="shared" si="36"/>
        <v>110756</v>
      </c>
      <c r="CU18" s="166">
        <v>97792</v>
      </c>
      <c r="CV18" s="166">
        <v>12964</v>
      </c>
      <c r="CW18" s="166">
        <f t="shared" si="37"/>
        <v>111944</v>
      </c>
      <c r="CX18" s="166">
        <v>97977</v>
      </c>
      <c r="CY18" s="166">
        <v>13967</v>
      </c>
      <c r="CZ18" s="166">
        <f t="shared" si="38"/>
        <v>137215</v>
      </c>
      <c r="DA18" s="166">
        <v>116663</v>
      </c>
      <c r="DB18" s="166">
        <v>20552</v>
      </c>
      <c r="DC18" s="166">
        <f t="shared" si="39"/>
        <v>132282</v>
      </c>
      <c r="DD18" s="166">
        <v>118032</v>
      </c>
      <c r="DE18" s="166">
        <v>14250</v>
      </c>
      <c r="DF18" s="166">
        <f t="shared" si="40"/>
        <v>139704</v>
      </c>
      <c r="DG18" s="166">
        <v>123833</v>
      </c>
      <c r="DH18" s="166">
        <v>15871</v>
      </c>
      <c r="DI18" s="166">
        <f t="shared" si="41"/>
        <v>146890</v>
      </c>
      <c r="DJ18" s="166">
        <v>136185</v>
      </c>
      <c r="DK18" s="166">
        <v>10705</v>
      </c>
      <c r="DL18" s="166">
        <v>155043</v>
      </c>
      <c r="DM18" s="166">
        <v>136979.79399999999</v>
      </c>
      <c r="DN18" s="166">
        <v>18062.198</v>
      </c>
      <c r="DO18" s="166">
        <f t="shared" si="42"/>
        <v>148019</v>
      </c>
      <c r="DP18" s="166">
        <v>134950</v>
      </c>
      <c r="DQ18" s="166">
        <v>13069</v>
      </c>
      <c r="DR18" s="166">
        <f t="shared" si="6"/>
        <v>147682</v>
      </c>
      <c r="DS18" s="166">
        <v>130191</v>
      </c>
      <c r="DT18" s="166">
        <v>17491</v>
      </c>
      <c r="DU18" s="166">
        <f t="shared" si="7"/>
        <v>162544</v>
      </c>
      <c r="DV18" s="166">
        <v>147248</v>
      </c>
      <c r="DW18" s="166">
        <v>15296</v>
      </c>
      <c r="DX18" s="166">
        <v>151363.24400000001</v>
      </c>
      <c r="DY18" s="166">
        <v>134537.61199999999</v>
      </c>
      <c r="DZ18" s="166">
        <v>16825.632000000001</v>
      </c>
      <c r="EA18" s="374">
        <v>155796</v>
      </c>
      <c r="EB18" s="374">
        <v>141303</v>
      </c>
      <c r="EC18" s="374">
        <v>14493</v>
      </c>
    </row>
    <row r="19" spans="1:133" s="164" customFormat="1" ht="15" customHeight="1" x14ac:dyDescent="0.2">
      <c r="A19" s="432" t="s">
        <v>608</v>
      </c>
      <c r="B19" s="160">
        <f t="shared" ref="B19:J19" si="43">SUM(B20:B22)</f>
        <v>4095</v>
      </c>
      <c r="C19" s="160">
        <f t="shared" si="43"/>
        <v>4091</v>
      </c>
      <c r="D19" s="160">
        <f t="shared" si="43"/>
        <v>4</v>
      </c>
      <c r="E19" s="160">
        <f t="shared" si="43"/>
        <v>4082</v>
      </c>
      <c r="F19" s="160">
        <f t="shared" si="43"/>
        <v>4078</v>
      </c>
      <c r="G19" s="160">
        <f t="shared" si="43"/>
        <v>4</v>
      </c>
      <c r="H19" s="161">
        <f t="shared" si="43"/>
        <v>4188</v>
      </c>
      <c r="I19" s="161">
        <f t="shared" si="43"/>
        <v>4183</v>
      </c>
      <c r="J19" s="161">
        <f t="shared" si="43"/>
        <v>5</v>
      </c>
      <c r="K19" s="161">
        <f t="shared" ref="K19:AP19" si="44">SUM(K20:K22)</f>
        <v>4923</v>
      </c>
      <c r="L19" s="161">
        <f t="shared" si="44"/>
        <v>4918</v>
      </c>
      <c r="M19" s="161">
        <f t="shared" si="44"/>
        <v>5</v>
      </c>
      <c r="N19" s="161">
        <f t="shared" si="44"/>
        <v>5298</v>
      </c>
      <c r="O19" s="161">
        <f t="shared" si="44"/>
        <v>5293</v>
      </c>
      <c r="P19" s="161">
        <f t="shared" si="44"/>
        <v>5</v>
      </c>
      <c r="Q19" s="161">
        <f t="shared" si="44"/>
        <v>5486</v>
      </c>
      <c r="R19" s="161">
        <f t="shared" si="44"/>
        <v>5480</v>
      </c>
      <c r="S19" s="161">
        <f t="shared" si="44"/>
        <v>6</v>
      </c>
      <c r="T19" s="161">
        <f t="shared" si="44"/>
        <v>6501</v>
      </c>
      <c r="U19" s="161">
        <f t="shared" si="44"/>
        <v>6493</v>
      </c>
      <c r="V19" s="161">
        <f t="shared" si="44"/>
        <v>8</v>
      </c>
      <c r="W19" s="161">
        <f t="shared" si="44"/>
        <v>7611</v>
      </c>
      <c r="X19" s="161">
        <f t="shared" si="44"/>
        <v>7601</v>
      </c>
      <c r="Y19" s="161">
        <f t="shared" si="44"/>
        <v>9</v>
      </c>
      <c r="Z19" s="161">
        <f t="shared" si="44"/>
        <v>8017</v>
      </c>
      <c r="AA19" s="161">
        <f t="shared" si="44"/>
        <v>8008</v>
      </c>
      <c r="AB19" s="161">
        <f t="shared" si="44"/>
        <v>9</v>
      </c>
      <c r="AC19" s="161">
        <f t="shared" si="44"/>
        <v>8177</v>
      </c>
      <c r="AD19" s="161">
        <f t="shared" si="44"/>
        <v>8169</v>
      </c>
      <c r="AE19" s="161">
        <f t="shared" si="44"/>
        <v>8</v>
      </c>
      <c r="AF19" s="161">
        <f t="shared" si="44"/>
        <v>8228</v>
      </c>
      <c r="AG19" s="161">
        <f t="shared" si="44"/>
        <v>8221</v>
      </c>
      <c r="AH19" s="161">
        <f t="shared" si="44"/>
        <v>7</v>
      </c>
      <c r="AI19" s="161">
        <f t="shared" si="44"/>
        <v>10195</v>
      </c>
      <c r="AJ19" s="161">
        <f t="shared" si="44"/>
        <v>10188</v>
      </c>
      <c r="AK19" s="161">
        <f t="shared" si="44"/>
        <v>7</v>
      </c>
      <c r="AL19" s="161">
        <f t="shared" si="44"/>
        <v>9916</v>
      </c>
      <c r="AM19" s="161">
        <f t="shared" si="44"/>
        <v>9909</v>
      </c>
      <c r="AN19" s="161">
        <f t="shared" si="44"/>
        <v>7</v>
      </c>
      <c r="AO19" s="161">
        <f t="shared" si="44"/>
        <v>10232</v>
      </c>
      <c r="AP19" s="161">
        <f t="shared" si="44"/>
        <v>10095</v>
      </c>
      <c r="AQ19" s="161">
        <f t="shared" ref="AQ19:BV19" si="45">SUM(AQ20:AQ22)</f>
        <v>137</v>
      </c>
      <c r="AR19" s="161">
        <f t="shared" si="45"/>
        <v>10723</v>
      </c>
      <c r="AS19" s="161">
        <f t="shared" si="45"/>
        <v>10653</v>
      </c>
      <c r="AT19" s="161">
        <f t="shared" si="45"/>
        <v>70</v>
      </c>
      <c r="AU19" s="161">
        <f t="shared" si="45"/>
        <v>11702</v>
      </c>
      <c r="AV19" s="161">
        <f t="shared" si="45"/>
        <v>11672</v>
      </c>
      <c r="AW19" s="161">
        <f t="shared" si="45"/>
        <v>30</v>
      </c>
      <c r="AX19" s="161">
        <f t="shared" si="45"/>
        <v>11788</v>
      </c>
      <c r="AY19" s="161">
        <f t="shared" si="45"/>
        <v>11758</v>
      </c>
      <c r="AZ19" s="161">
        <f t="shared" si="45"/>
        <v>30</v>
      </c>
      <c r="BA19" s="161">
        <f t="shared" si="45"/>
        <v>11736</v>
      </c>
      <c r="BB19" s="161">
        <f t="shared" si="45"/>
        <v>11697</v>
      </c>
      <c r="BC19" s="161">
        <f t="shared" si="45"/>
        <v>39</v>
      </c>
      <c r="BD19" s="161">
        <f t="shared" si="45"/>
        <v>12051</v>
      </c>
      <c r="BE19" s="161">
        <f t="shared" si="45"/>
        <v>12008</v>
      </c>
      <c r="BF19" s="161">
        <f t="shared" si="45"/>
        <v>43</v>
      </c>
      <c r="BG19" s="161">
        <f t="shared" si="45"/>
        <v>15442</v>
      </c>
      <c r="BH19" s="161">
        <f t="shared" si="45"/>
        <v>15399</v>
      </c>
      <c r="BI19" s="161">
        <f t="shared" si="45"/>
        <v>43</v>
      </c>
      <c r="BJ19" s="161">
        <f t="shared" si="45"/>
        <v>15654</v>
      </c>
      <c r="BK19" s="161">
        <f t="shared" si="45"/>
        <v>15612</v>
      </c>
      <c r="BL19" s="161">
        <f t="shared" si="45"/>
        <v>42</v>
      </c>
      <c r="BM19" s="161">
        <f t="shared" si="45"/>
        <v>15457</v>
      </c>
      <c r="BN19" s="161">
        <f t="shared" si="45"/>
        <v>15412</v>
      </c>
      <c r="BO19" s="161">
        <f t="shared" si="45"/>
        <v>45</v>
      </c>
      <c r="BP19" s="161">
        <f t="shared" si="45"/>
        <v>15992</v>
      </c>
      <c r="BQ19" s="161">
        <f t="shared" si="45"/>
        <v>15948</v>
      </c>
      <c r="BR19" s="161">
        <f t="shared" si="45"/>
        <v>44</v>
      </c>
      <c r="BS19" s="161">
        <f t="shared" si="45"/>
        <v>14813</v>
      </c>
      <c r="BT19" s="161">
        <f t="shared" si="45"/>
        <v>14771</v>
      </c>
      <c r="BU19" s="161">
        <f t="shared" si="45"/>
        <v>42</v>
      </c>
      <c r="BV19" s="161">
        <f t="shared" si="45"/>
        <v>15276</v>
      </c>
      <c r="BW19" s="161">
        <f t="shared" ref="BW19:DB19" si="46">SUM(BW20:BW22)</f>
        <v>15235</v>
      </c>
      <c r="BX19" s="161">
        <f t="shared" si="46"/>
        <v>41</v>
      </c>
      <c r="BY19" s="161">
        <f t="shared" si="46"/>
        <v>15576</v>
      </c>
      <c r="BZ19" s="161">
        <f t="shared" si="46"/>
        <v>15535</v>
      </c>
      <c r="CA19" s="161">
        <f t="shared" si="46"/>
        <v>41</v>
      </c>
      <c r="CB19" s="161">
        <f t="shared" si="46"/>
        <v>15331</v>
      </c>
      <c r="CC19" s="161">
        <f t="shared" si="46"/>
        <v>15291</v>
      </c>
      <c r="CD19" s="161">
        <f t="shared" si="46"/>
        <v>40</v>
      </c>
      <c r="CE19" s="161">
        <f t="shared" si="46"/>
        <v>15643</v>
      </c>
      <c r="CF19" s="161">
        <f t="shared" si="46"/>
        <v>15600</v>
      </c>
      <c r="CG19" s="161">
        <f t="shared" si="46"/>
        <v>43</v>
      </c>
      <c r="CH19" s="161">
        <f t="shared" si="46"/>
        <v>15468</v>
      </c>
      <c r="CI19" s="161">
        <f t="shared" si="46"/>
        <v>15429</v>
      </c>
      <c r="CJ19" s="161">
        <f t="shared" si="46"/>
        <v>39</v>
      </c>
      <c r="CK19" s="161">
        <f t="shared" si="46"/>
        <v>15146</v>
      </c>
      <c r="CL19" s="161">
        <f t="shared" si="46"/>
        <v>15110</v>
      </c>
      <c r="CM19" s="161">
        <f t="shared" si="46"/>
        <v>36</v>
      </c>
      <c r="CN19" s="161">
        <f t="shared" si="46"/>
        <v>15050</v>
      </c>
      <c r="CO19" s="161">
        <f t="shared" si="46"/>
        <v>15010</v>
      </c>
      <c r="CP19" s="161">
        <f t="shared" si="46"/>
        <v>40</v>
      </c>
      <c r="CQ19" s="161">
        <f t="shared" si="46"/>
        <v>15071</v>
      </c>
      <c r="CR19" s="161">
        <f t="shared" si="46"/>
        <v>14965</v>
      </c>
      <c r="CS19" s="161">
        <f t="shared" si="46"/>
        <v>106</v>
      </c>
      <c r="CT19" s="161">
        <f t="shared" si="46"/>
        <v>19380</v>
      </c>
      <c r="CU19" s="161">
        <f t="shared" si="46"/>
        <v>19246</v>
      </c>
      <c r="CV19" s="161">
        <f t="shared" si="46"/>
        <v>134</v>
      </c>
      <c r="CW19" s="161">
        <f t="shared" si="46"/>
        <v>19163</v>
      </c>
      <c r="CX19" s="161">
        <f t="shared" si="46"/>
        <v>19039</v>
      </c>
      <c r="CY19" s="161">
        <f t="shared" si="46"/>
        <v>124</v>
      </c>
      <c r="CZ19" s="161">
        <f t="shared" si="46"/>
        <v>19095</v>
      </c>
      <c r="DA19" s="161">
        <f t="shared" si="46"/>
        <v>18942</v>
      </c>
      <c r="DB19" s="161">
        <f t="shared" si="46"/>
        <v>153</v>
      </c>
      <c r="DC19" s="161">
        <f t="shared" ref="DC19:DH19" si="47">SUM(DC20:DC22)</f>
        <v>19987</v>
      </c>
      <c r="DD19" s="161">
        <f t="shared" si="47"/>
        <v>19818</v>
      </c>
      <c r="DE19" s="161">
        <f t="shared" si="47"/>
        <v>169</v>
      </c>
      <c r="DF19" s="161">
        <f t="shared" si="47"/>
        <v>19631</v>
      </c>
      <c r="DG19" s="161">
        <f t="shared" si="47"/>
        <v>19481</v>
      </c>
      <c r="DH19" s="161">
        <f t="shared" si="47"/>
        <v>150</v>
      </c>
      <c r="DI19" s="161">
        <f t="shared" ref="DI19:DQ19" si="48">SUM(DI20:DI22)</f>
        <v>19364</v>
      </c>
      <c r="DJ19" s="161">
        <f t="shared" si="48"/>
        <v>19236</v>
      </c>
      <c r="DK19" s="161">
        <f t="shared" si="48"/>
        <v>128</v>
      </c>
      <c r="DL19" s="161">
        <f t="shared" si="48"/>
        <v>30660</v>
      </c>
      <c r="DM19" s="161">
        <f t="shared" si="48"/>
        <v>30533.718999999997</v>
      </c>
      <c r="DN19" s="161">
        <f t="shared" si="48"/>
        <v>126.37899999999999</v>
      </c>
      <c r="DO19" s="161">
        <f t="shared" si="48"/>
        <v>31285</v>
      </c>
      <c r="DP19" s="161">
        <f t="shared" si="48"/>
        <v>31111</v>
      </c>
      <c r="DQ19" s="161">
        <f t="shared" si="48"/>
        <v>174</v>
      </c>
      <c r="DR19" s="161">
        <f t="shared" si="6"/>
        <v>30191</v>
      </c>
      <c r="DS19" s="161">
        <f>SUM(DS20:DS22)</f>
        <v>30033</v>
      </c>
      <c r="DT19" s="161">
        <f>SUM(DT20:DT22)</f>
        <v>158</v>
      </c>
      <c r="DU19" s="161">
        <f t="shared" si="7"/>
        <v>29186</v>
      </c>
      <c r="DV19" s="161">
        <f>SUM(DV20:DV22)</f>
        <v>29027</v>
      </c>
      <c r="DW19" s="161">
        <f>SUM(DW20:DW22)</f>
        <v>159</v>
      </c>
      <c r="DX19" s="161">
        <f>DY19+DZ19</f>
        <v>29837.821</v>
      </c>
      <c r="DY19" s="161">
        <f>SUM(DY20:DY22)</f>
        <v>29802.091</v>
      </c>
      <c r="DZ19" s="161">
        <f>SUM(DZ20:DZ22)</f>
        <v>35.729999999999997</v>
      </c>
      <c r="EA19" s="694">
        <f>EB19+EC19</f>
        <v>30435</v>
      </c>
      <c r="EB19" s="694">
        <f>SUM(EB20:EB22)</f>
        <v>30399</v>
      </c>
      <c r="EC19" s="694">
        <f>SUM(EC20:EC22)</f>
        <v>36</v>
      </c>
    </row>
    <row r="20" spans="1:133" s="164" customFormat="1" ht="15" customHeight="1" x14ac:dyDescent="0.2">
      <c r="A20" s="433" t="s">
        <v>76</v>
      </c>
      <c r="B20" s="165">
        <f>C20+D20</f>
        <v>662</v>
      </c>
      <c r="C20" s="165">
        <v>662</v>
      </c>
      <c r="D20" s="165">
        <v>0</v>
      </c>
      <c r="E20" s="165">
        <f>F20+G20</f>
        <v>585</v>
      </c>
      <c r="F20" s="165">
        <v>585</v>
      </c>
      <c r="G20" s="165">
        <v>0</v>
      </c>
      <c r="H20" s="166">
        <f>I20+J20</f>
        <v>605</v>
      </c>
      <c r="I20" s="166">
        <v>605</v>
      </c>
      <c r="J20" s="166">
        <v>0</v>
      </c>
      <c r="K20" s="166">
        <f>L20+M20</f>
        <v>604</v>
      </c>
      <c r="L20" s="166">
        <v>604</v>
      </c>
      <c r="M20" s="166">
        <v>0</v>
      </c>
      <c r="N20" s="166">
        <f>O20+P20</f>
        <v>743</v>
      </c>
      <c r="O20" s="166">
        <v>743</v>
      </c>
      <c r="P20" s="166">
        <v>0</v>
      </c>
      <c r="Q20" s="166">
        <f>R20+S20</f>
        <v>784</v>
      </c>
      <c r="R20" s="166">
        <v>784</v>
      </c>
      <c r="S20" s="166">
        <v>0</v>
      </c>
      <c r="T20" s="166">
        <f>U20+V20</f>
        <v>823</v>
      </c>
      <c r="U20" s="166">
        <v>823</v>
      </c>
      <c r="V20" s="166">
        <v>0</v>
      </c>
      <c r="W20" s="166">
        <v>1049</v>
      </c>
      <c r="X20" s="166">
        <v>1048</v>
      </c>
      <c r="Y20" s="166">
        <v>0</v>
      </c>
      <c r="Z20" s="166">
        <f>AA20+AB20</f>
        <v>1095</v>
      </c>
      <c r="AA20" s="166">
        <v>1095</v>
      </c>
      <c r="AB20" s="166">
        <v>0</v>
      </c>
      <c r="AC20" s="166">
        <f>AD20+AE20</f>
        <v>1053</v>
      </c>
      <c r="AD20" s="166">
        <v>1053</v>
      </c>
      <c r="AE20" s="166">
        <v>0</v>
      </c>
      <c r="AF20" s="166">
        <f>AG20+AH20</f>
        <v>1104</v>
      </c>
      <c r="AG20" s="166">
        <v>1104</v>
      </c>
      <c r="AH20" s="166">
        <v>0</v>
      </c>
      <c r="AI20" s="166">
        <f>AJ20+AK20</f>
        <v>1261</v>
      </c>
      <c r="AJ20" s="166">
        <v>1261</v>
      </c>
      <c r="AK20" s="166">
        <v>0</v>
      </c>
      <c r="AL20" s="166">
        <f>AM20+AN20</f>
        <v>1537</v>
      </c>
      <c r="AM20" s="166">
        <v>1537</v>
      </c>
      <c r="AN20" s="166">
        <v>0</v>
      </c>
      <c r="AO20" s="166">
        <f>AP20+AQ20</f>
        <v>1553</v>
      </c>
      <c r="AP20" s="166">
        <v>1553</v>
      </c>
      <c r="AQ20" s="166">
        <v>0</v>
      </c>
      <c r="AR20" s="166">
        <f>AS20+AT20</f>
        <v>1616</v>
      </c>
      <c r="AS20" s="166">
        <v>1573</v>
      </c>
      <c r="AT20" s="166">
        <v>43</v>
      </c>
      <c r="AU20" s="166">
        <f>AV20+AW20</f>
        <v>1577</v>
      </c>
      <c r="AV20" s="166">
        <v>1577</v>
      </c>
      <c r="AW20" s="166">
        <v>0</v>
      </c>
      <c r="AX20" s="166">
        <f>AY20+AZ20</f>
        <v>1675</v>
      </c>
      <c r="AY20" s="166">
        <v>1675</v>
      </c>
      <c r="AZ20" s="166">
        <v>0</v>
      </c>
      <c r="BA20" s="166">
        <f>BB20+BC20</f>
        <v>1699</v>
      </c>
      <c r="BB20" s="166">
        <v>1699</v>
      </c>
      <c r="BC20" s="166">
        <v>0</v>
      </c>
      <c r="BD20" s="166">
        <f>BE20+BF20</f>
        <v>1721</v>
      </c>
      <c r="BE20" s="166">
        <v>1721</v>
      </c>
      <c r="BF20" s="166">
        <v>0</v>
      </c>
      <c r="BG20" s="166">
        <f>BH20+BI20</f>
        <v>2051</v>
      </c>
      <c r="BH20" s="166">
        <v>2051</v>
      </c>
      <c r="BI20" s="166">
        <v>0</v>
      </c>
      <c r="BJ20" s="166">
        <f>BK20+BL20</f>
        <v>2076</v>
      </c>
      <c r="BK20" s="166">
        <v>2076</v>
      </c>
      <c r="BL20" s="166">
        <v>0</v>
      </c>
      <c r="BM20" s="166">
        <f>BN20+BO20</f>
        <v>1889</v>
      </c>
      <c r="BN20" s="166">
        <v>1889</v>
      </c>
      <c r="BO20" s="166">
        <v>0</v>
      </c>
      <c r="BP20" s="166">
        <f>BQ20+BR20</f>
        <v>1907</v>
      </c>
      <c r="BQ20" s="166">
        <v>1907</v>
      </c>
      <c r="BR20" s="166">
        <v>0</v>
      </c>
      <c r="BS20" s="166">
        <f>BT20+BU20</f>
        <v>1865</v>
      </c>
      <c r="BT20" s="166">
        <v>1865</v>
      </c>
      <c r="BU20" s="166">
        <v>0</v>
      </c>
      <c r="BV20" s="166">
        <f>BW20+BX20</f>
        <v>1867</v>
      </c>
      <c r="BW20" s="166">
        <v>1867</v>
      </c>
      <c r="BX20" s="166">
        <v>0</v>
      </c>
      <c r="BY20" s="166">
        <f>BZ20+CA20</f>
        <v>1920</v>
      </c>
      <c r="BZ20" s="166">
        <v>1920</v>
      </c>
      <c r="CA20" s="166">
        <v>0</v>
      </c>
      <c r="CB20" s="166">
        <v>1910</v>
      </c>
      <c r="CC20" s="166">
        <v>1910</v>
      </c>
      <c r="CD20" s="166">
        <v>0</v>
      </c>
      <c r="CE20" s="166">
        <f>CF20+CG20</f>
        <v>1830</v>
      </c>
      <c r="CF20" s="166">
        <v>1830</v>
      </c>
      <c r="CG20" s="166">
        <v>0</v>
      </c>
      <c r="CH20" s="166">
        <f>CI20+CJ20</f>
        <v>1870</v>
      </c>
      <c r="CI20" s="166">
        <v>1870</v>
      </c>
      <c r="CJ20" s="166">
        <v>0</v>
      </c>
      <c r="CK20" s="166">
        <f>CL20+CM20</f>
        <v>1886</v>
      </c>
      <c r="CL20" s="166">
        <v>1886</v>
      </c>
      <c r="CM20" s="166">
        <v>0</v>
      </c>
      <c r="CN20" s="166">
        <f>CO20+CP20</f>
        <v>1931</v>
      </c>
      <c r="CO20" s="166">
        <v>1929</v>
      </c>
      <c r="CP20" s="166">
        <v>2</v>
      </c>
      <c r="CQ20" s="166">
        <f>CR20+CS20</f>
        <v>1713</v>
      </c>
      <c r="CR20" s="166">
        <v>1710</v>
      </c>
      <c r="CS20" s="166">
        <v>3</v>
      </c>
      <c r="CT20" s="166">
        <f>CU20+CV20</f>
        <v>1636</v>
      </c>
      <c r="CU20" s="166">
        <v>1633</v>
      </c>
      <c r="CV20" s="166">
        <v>3</v>
      </c>
      <c r="CW20" s="166">
        <f>CX20+CY20</f>
        <v>1668</v>
      </c>
      <c r="CX20" s="166">
        <v>1667</v>
      </c>
      <c r="CY20" s="166">
        <v>1</v>
      </c>
      <c r="CZ20" s="166">
        <f>DA20+DB20</f>
        <v>1710</v>
      </c>
      <c r="DA20" s="166">
        <v>1709</v>
      </c>
      <c r="DB20" s="166">
        <v>1</v>
      </c>
      <c r="DC20" s="166">
        <f>DD20+DE20</f>
        <v>1587</v>
      </c>
      <c r="DD20" s="166">
        <v>1569</v>
      </c>
      <c r="DE20" s="166">
        <v>18</v>
      </c>
      <c r="DF20" s="166">
        <f>DG20+DH20</f>
        <v>1520</v>
      </c>
      <c r="DG20" s="166">
        <v>1505</v>
      </c>
      <c r="DH20" s="166">
        <v>15</v>
      </c>
      <c r="DI20" s="166">
        <f>DJ20+DK20</f>
        <v>1538</v>
      </c>
      <c r="DJ20" s="166">
        <v>1527</v>
      </c>
      <c r="DK20" s="166">
        <v>11</v>
      </c>
      <c r="DL20" s="166">
        <v>1639</v>
      </c>
      <c r="DM20" s="166">
        <v>1627.8779999999999</v>
      </c>
      <c r="DN20" s="166">
        <v>10.398</v>
      </c>
      <c r="DO20" s="166">
        <f t="shared" si="42"/>
        <v>1778</v>
      </c>
      <c r="DP20" s="166">
        <v>1768</v>
      </c>
      <c r="DQ20" s="166">
        <v>10</v>
      </c>
      <c r="DR20" s="166">
        <f t="shared" si="6"/>
        <v>1726</v>
      </c>
      <c r="DS20" s="166">
        <v>1726</v>
      </c>
      <c r="DT20" s="166">
        <v>0</v>
      </c>
      <c r="DU20" s="166">
        <f t="shared" si="7"/>
        <v>1779</v>
      </c>
      <c r="DV20" s="166">
        <v>1779</v>
      </c>
      <c r="DW20" s="166">
        <v>0</v>
      </c>
      <c r="DX20" s="166">
        <v>2143.855</v>
      </c>
      <c r="DY20" s="166">
        <v>2143.855</v>
      </c>
      <c r="DZ20" s="166">
        <v>0</v>
      </c>
      <c r="EA20" s="374">
        <v>2182</v>
      </c>
      <c r="EB20" s="374">
        <v>2182</v>
      </c>
      <c r="EC20" s="374">
        <v>0</v>
      </c>
    </row>
    <row r="21" spans="1:133" s="164" customFormat="1" ht="15" customHeight="1" x14ac:dyDescent="0.2">
      <c r="A21" s="433" t="s">
        <v>609</v>
      </c>
      <c r="B21" s="165">
        <f>C21+D21</f>
        <v>2017</v>
      </c>
      <c r="C21" s="165">
        <v>2013</v>
      </c>
      <c r="D21" s="165">
        <v>4</v>
      </c>
      <c r="E21" s="165">
        <f>F21+G21</f>
        <v>1999</v>
      </c>
      <c r="F21" s="165">
        <v>1995</v>
      </c>
      <c r="G21" s="165">
        <v>4</v>
      </c>
      <c r="H21" s="166">
        <f>I21+J21</f>
        <v>1989</v>
      </c>
      <c r="I21" s="166">
        <v>1984</v>
      </c>
      <c r="J21" s="166">
        <v>5</v>
      </c>
      <c r="K21" s="166">
        <v>2103</v>
      </c>
      <c r="L21" s="166">
        <v>2098</v>
      </c>
      <c r="M21" s="166">
        <v>5</v>
      </c>
      <c r="N21" s="166">
        <v>2114</v>
      </c>
      <c r="O21" s="166">
        <v>2109</v>
      </c>
      <c r="P21" s="166">
        <v>5</v>
      </c>
      <c r="Q21" s="166">
        <v>2198</v>
      </c>
      <c r="R21" s="166">
        <v>2192</v>
      </c>
      <c r="S21" s="166">
        <v>6</v>
      </c>
      <c r="T21" s="166">
        <v>2309</v>
      </c>
      <c r="U21" s="166">
        <v>2301</v>
      </c>
      <c r="V21" s="166">
        <v>8</v>
      </c>
      <c r="W21" s="166">
        <f>X21+Y21</f>
        <v>3249</v>
      </c>
      <c r="X21" s="166">
        <v>3240</v>
      </c>
      <c r="Y21" s="166">
        <v>9</v>
      </c>
      <c r="Z21" s="166">
        <f>AA21+AB21</f>
        <v>3286</v>
      </c>
      <c r="AA21" s="166">
        <v>3277</v>
      </c>
      <c r="AB21" s="166">
        <v>9</v>
      </c>
      <c r="AC21" s="166">
        <f>AD21+AE21</f>
        <v>3300</v>
      </c>
      <c r="AD21" s="166">
        <v>3292</v>
      </c>
      <c r="AE21" s="166">
        <v>8</v>
      </c>
      <c r="AF21" s="166">
        <f>AG21+AH21</f>
        <v>3272</v>
      </c>
      <c r="AG21" s="166">
        <v>3265</v>
      </c>
      <c r="AH21" s="166">
        <v>7</v>
      </c>
      <c r="AI21" s="166">
        <f>AJ21+AK21</f>
        <v>3418</v>
      </c>
      <c r="AJ21" s="166">
        <v>3411</v>
      </c>
      <c r="AK21" s="166">
        <v>7</v>
      </c>
      <c r="AL21" s="166">
        <f>AM21+AN21</f>
        <v>3244</v>
      </c>
      <c r="AM21" s="166">
        <v>3237</v>
      </c>
      <c r="AN21" s="166">
        <v>7</v>
      </c>
      <c r="AO21" s="166">
        <f>AP21+AQ21</f>
        <v>3427</v>
      </c>
      <c r="AP21" s="166">
        <v>3415</v>
      </c>
      <c r="AQ21" s="166">
        <v>12</v>
      </c>
      <c r="AR21" s="166">
        <f>AS21+AT21</f>
        <v>3401</v>
      </c>
      <c r="AS21" s="166">
        <v>3396</v>
      </c>
      <c r="AT21" s="166">
        <v>5</v>
      </c>
      <c r="AU21" s="166">
        <f>AV21+AW21</f>
        <v>3766</v>
      </c>
      <c r="AV21" s="166">
        <v>3757</v>
      </c>
      <c r="AW21" s="166">
        <v>9</v>
      </c>
      <c r="AX21" s="166">
        <f>AY21+AZ21</f>
        <v>3666</v>
      </c>
      <c r="AY21" s="166">
        <v>3657</v>
      </c>
      <c r="AZ21" s="166">
        <v>9</v>
      </c>
      <c r="BA21" s="166">
        <f>BB21+BC21</f>
        <v>3658</v>
      </c>
      <c r="BB21" s="166">
        <v>3645</v>
      </c>
      <c r="BC21" s="166">
        <v>13</v>
      </c>
      <c r="BD21" s="166">
        <f>BE21+BF21</f>
        <v>3812</v>
      </c>
      <c r="BE21" s="166">
        <v>3797</v>
      </c>
      <c r="BF21" s="166">
        <v>15</v>
      </c>
      <c r="BG21" s="166">
        <f>BH21+BI21</f>
        <v>4413</v>
      </c>
      <c r="BH21" s="166">
        <v>4397</v>
      </c>
      <c r="BI21" s="166">
        <v>16</v>
      </c>
      <c r="BJ21" s="166">
        <f>BK21+BL21</f>
        <v>4551</v>
      </c>
      <c r="BK21" s="166">
        <v>4535</v>
      </c>
      <c r="BL21" s="166">
        <v>16</v>
      </c>
      <c r="BM21" s="166">
        <f>BN21+BO21</f>
        <v>4523</v>
      </c>
      <c r="BN21" s="166">
        <v>4506</v>
      </c>
      <c r="BO21" s="166">
        <v>17</v>
      </c>
      <c r="BP21" s="166">
        <f>BQ21+BR21</f>
        <v>4500</v>
      </c>
      <c r="BQ21" s="166">
        <v>4483</v>
      </c>
      <c r="BR21" s="166">
        <v>17</v>
      </c>
      <c r="BS21" s="166">
        <f>BT21+BU21</f>
        <v>4678</v>
      </c>
      <c r="BT21" s="166">
        <v>4662</v>
      </c>
      <c r="BU21" s="166">
        <v>16</v>
      </c>
      <c r="BV21" s="166">
        <f>BW21+BX21</f>
        <v>4550</v>
      </c>
      <c r="BW21" s="166">
        <v>4535</v>
      </c>
      <c r="BX21" s="166">
        <v>15</v>
      </c>
      <c r="BY21" s="166">
        <f>BZ21+CA21</f>
        <v>4464</v>
      </c>
      <c r="BZ21" s="166">
        <v>4449</v>
      </c>
      <c r="CA21" s="166">
        <v>15</v>
      </c>
      <c r="CB21" s="166">
        <v>4392</v>
      </c>
      <c r="CC21" s="166">
        <v>4377</v>
      </c>
      <c r="CD21" s="166">
        <v>15</v>
      </c>
      <c r="CE21" s="166">
        <f>CF21+CG21</f>
        <v>4667</v>
      </c>
      <c r="CF21" s="166">
        <v>4652</v>
      </c>
      <c r="CG21" s="166">
        <v>15</v>
      </c>
      <c r="CH21" s="166">
        <f>CI21+CJ21</f>
        <v>4597</v>
      </c>
      <c r="CI21" s="166">
        <v>4584</v>
      </c>
      <c r="CJ21" s="166">
        <v>13</v>
      </c>
      <c r="CK21" s="166">
        <f>CL21+CM21</f>
        <v>4579</v>
      </c>
      <c r="CL21" s="166">
        <v>4567</v>
      </c>
      <c r="CM21" s="166">
        <v>12</v>
      </c>
      <c r="CN21" s="166">
        <f>CO21+CP21</f>
        <v>4591</v>
      </c>
      <c r="CO21" s="166">
        <v>4577</v>
      </c>
      <c r="CP21" s="166">
        <v>14</v>
      </c>
      <c r="CQ21" s="166">
        <f>CR21+CS21</f>
        <v>4887</v>
      </c>
      <c r="CR21" s="166">
        <v>4869</v>
      </c>
      <c r="CS21" s="166">
        <v>18</v>
      </c>
      <c r="CT21" s="166">
        <v>4952</v>
      </c>
      <c r="CU21" s="166">
        <v>4929</v>
      </c>
      <c r="CV21" s="166">
        <v>23</v>
      </c>
      <c r="CW21" s="166">
        <f>CX21+CY21</f>
        <v>4940</v>
      </c>
      <c r="CX21" s="166">
        <v>4918</v>
      </c>
      <c r="CY21" s="166">
        <v>22</v>
      </c>
      <c r="CZ21" s="166">
        <f>DA21+DB21</f>
        <v>5000</v>
      </c>
      <c r="DA21" s="166">
        <v>4972</v>
      </c>
      <c r="DB21" s="166">
        <v>28</v>
      </c>
      <c r="DC21" s="166">
        <f>DD21+DE21</f>
        <v>5772</v>
      </c>
      <c r="DD21" s="166">
        <v>5740</v>
      </c>
      <c r="DE21" s="166">
        <v>32</v>
      </c>
      <c r="DF21" s="166">
        <f>DG21+DH21</f>
        <v>5779</v>
      </c>
      <c r="DG21" s="166">
        <v>5750</v>
      </c>
      <c r="DH21" s="166">
        <v>29</v>
      </c>
      <c r="DI21" s="166">
        <f>DJ21+DK21</f>
        <v>5682</v>
      </c>
      <c r="DJ21" s="166">
        <v>5656</v>
      </c>
      <c r="DK21" s="166">
        <v>26</v>
      </c>
      <c r="DL21" s="166">
        <v>6931</v>
      </c>
      <c r="DM21" s="166">
        <v>6903.9719999999998</v>
      </c>
      <c r="DN21" s="166">
        <v>27.376999999999999</v>
      </c>
      <c r="DO21" s="166">
        <f t="shared" si="42"/>
        <v>7965</v>
      </c>
      <c r="DP21" s="166">
        <v>7932</v>
      </c>
      <c r="DQ21" s="166">
        <v>33</v>
      </c>
      <c r="DR21" s="166">
        <f t="shared" si="6"/>
        <v>7802</v>
      </c>
      <c r="DS21" s="166">
        <v>7770</v>
      </c>
      <c r="DT21" s="166">
        <v>32</v>
      </c>
      <c r="DU21" s="166">
        <f t="shared" si="7"/>
        <v>7573</v>
      </c>
      <c r="DV21" s="166">
        <v>7541</v>
      </c>
      <c r="DW21" s="166">
        <v>32</v>
      </c>
      <c r="DX21" s="166">
        <v>7453.0140000000001</v>
      </c>
      <c r="DY21" s="166">
        <v>7430.9650000000001</v>
      </c>
      <c r="DZ21" s="166">
        <v>22.048999999999999</v>
      </c>
      <c r="EA21" s="374">
        <v>7949</v>
      </c>
      <c r="EB21" s="374">
        <v>7927</v>
      </c>
      <c r="EC21" s="374">
        <v>22</v>
      </c>
    </row>
    <row r="22" spans="1:133" s="164" customFormat="1" ht="15" customHeight="1" x14ac:dyDescent="0.2">
      <c r="A22" s="441" t="s">
        <v>77</v>
      </c>
      <c r="B22" s="165">
        <f>C22+D22</f>
        <v>1416</v>
      </c>
      <c r="C22" s="165">
        <v>1416</v>
      </c>
      <c r="D22" s="165">
        <v>0</v>
      </c>
      <c r="E22" s="165">
        <f>F22+G22</f>
        <v>1498</v>
      </c>
      <c r="F22" s="165">
        <v>1498</v>
      </c>
      <c r="G22" s="165">
        <v>0</v>
      </c>
      <c r="H22" s="166">
        <f>I22+J22</f>
        <v>1594</v>
      </c>
      <c r="I22" s="166">
        <v>1594</v>
      </c>
      <c r="J22" s="166">
        <v>0</v>
      </c>
      <c r="K22" s="166">
        <v>2216</v>
      </c>
      <c r="L22" s="166">
        <v>2216</v>
      </c>
      <c r="M22" s="166">
        <v>0</v>
      </c>
      <c r="N22" s="166">
        <v>2441</v>
      </c>
      <c r="O22" s="166">
        <v>2441</v>
      </c>
      <c r="P22" s="166">
        <v>0</v>
      </c>
      <c r="Q22" s="166">
        <v>2504</v>
      </c>
      <c r="R22" s="166">
        <v>2504</v>
      </c>
      <c r="S22" s="166">
        <v>0</v>
      </c>
      <c r="T22" s="166">
        <v>3369</v>
      </c>
      <c r="U22" s="166">
        <v>3369</v>
      </c>
      <c r="V22" s="166">
        <v>0</v>
      </c>
      <c r="W22" s="166">
        <f>X22+Y22</f>
        <v>3313</v>
      </c>
      <c r="X22" s="166">
        <v>3313</v>
      </c>
      <c r="Y22" s="166">
        <v>0</v>
      </c>
      <c r="Z22" s="166">
        <f>AA22+AB22</f>
        <v>3636</v>
      </c>
      <c r="AA22" s="166">
        <v>3636</v>
      </c>
      <c r="AB22" s="166"/>
      <c r="AC22" s="166">
        <f>AD22+AE22</f>
        <v>3824</v>
      </c>
      <c r="AD22" s="166">
        <v>3824</v>
      </c>
      <c r="AE22" s="166">
        <v>0</v>
      </c>
      <c r="AF22" s="166">
        <f>AG22+AH22</f>
        <v>3852</v>
      </c>
      <c r="AG22" s="166">
        <v>3852</v>
      </c>
      <c r="AH22" s="166">
        <v>0</v>
      </c>
      <c r="AI22" s="166">
        <f>AJ22+AK22</f>
        <v>5516</v>
      </c>
      <c r="AJ22" s="166">
        <v>5516</v>
      </c>
      <c r="AK22" s="166">
        <v>0</v>
      </c>
      <c r="AL22" s="166">
        <f>AM22+AN22</f>
        <v>5135</v>
      </c>
      <c r="AM22" s="166">
        <v>5135</v>
      </c>
      <c r="AN22" s="166">
        <v>0</v>
      </c>
      <c r="AO22" s="166">
        <f>AP22+AQ22</f>
        <v>5252</v>
      </c>
      <c r="AP22" s="166">
        <v>5127</v>
      </c>
      <c r="AQ22" s="166">
        <v>125</v>
      </c>
      <c r="AR22" s="166">
        <f>AS22+AT22</f>
        <v>5706</v>
      </c>
      <c r="AS22" s="166">
        <v>5684</v>
      </c>
      <c r="AT22" s="166">
        <v>22</v>
      </c>
      <c r="AU22" s="166">
        <f>AV22+AW22</f>
        <v>6359</v>
      </c>
      <c r="AV22" s="166">
        <v>6338</v>
      </c>
      <c r="AW22" s="166">
        <v>21</v>
      </c>
      <c r="AX22" s="166">
        <f>AY22+AZ22</f>
        <v>6447</v>
      </c>
      <c r="AY22" s="166">
        <v>6426</v>
      </c>
      <c r="AZ22" s="166">
        <v>21</v>
      </c>
      <c r="BA22" s="166">
        <f>BB22+BC22</f>
        <v>6379</v>
      </c>
      <c r="BB22" s="166">
        <v>6353</v>
      </c>
      <c r="BC22" s="166">
        <v>26</v>
      </c>
      <c r="BD22" s="166">
        <f>BE22+BF22</f>
        <v>6518</v>
      </c>
      <c r="BE22" s="166">
        <v>6490</v>
      </c>
      <c r="BF22" s="166">
        <v>28</v>
      </c>
      <c r="BG22" s="166">
        <f>BH22+BI22</f>
        <v>8978</v>
      </c>
      <c r="BH22" s="166">
        <v>8951</v>
      </c>
      <c r="BI22" s="166">
        <v>27</v>
      </c>
      <c r="BJ22" s="166">
        <f>BK22+BL22</f>
        <v>9027</v>
      </c>
      <c r="BK22" s="166">
        <v>9001</v>
      </c>
      <c r="BL22" s="166">
        <v>26</v>
      </c>
      <c r="BM22" s="166">
        <f>BN22+BO22</f>
        <v>9045</v>
      </c>
      <c r="BN22" s="166">
        <v>9017</v>
      </c>
      <c r="BO22" s="166">
        <v>28</v>
      </c>
      <c r="BP22" s="166">
        <f>BQ22+BR22</f>
        <v>9585</v>
      </c>
      <c r="BQ22" s="166">
        <v>9558</v>
      </c>
      <c r="BR22" s="166">
        <v>27</v>
      </c>
      <c r="BS22" s="166">
        <f>BT22+BU22</f>
        <v>8270</v>
      </c>
      <c r="BT22" s="166">
        <v>8244</v>
      </c>
      <c r="BU22" s="166">
        <v>26</v>
      </c>
      <c r="BV22" s="166">
        <f>BW22+BX22</f>
        <v>8859</v>
      </c>
      <c r="BW22" s="166">
        <v>8833</v>
      </c>
      <c r="BX22" s="166">
        <v>26</v>
      </c>
      <c r="BY22" s="166">
        <f>BZ22+CA22</f>
        <v>9192</v>
      </c>
      <c r="BZ22" s="166">
        <v>9166</v>
      </c>
      <c r="CA22" s="166">
        <v>26</v>
      </c>
      <c r="CB22" s="166">
        <v>9029</v>
      </c>
      <c r="CC22" s="166">
        <v>9004</v>
      </c>
      <c r="CD22" s="166">
        <v>25</v>
      </c>
      <c r="CE22" s="166">
        <f>CF22+CG22</f>
        <v>9146</v>
      </c>
      <c r="CF22" s="166">
        <v>9118</v>
      </c>
      <c r="CG22" s="166">
        <v>28</v>
      </c>
      <c r="CH22" s="166">
        <f>CI22+CJ22</f>
        <v>9001</v>
      </c>
      <c r="CI22" s="166">
        <v>8975</v>
      </c>
      <c r="CJ22" s="166">
        <v>26</v>
      </c>
      <c r="CK22" s="166">
        <f>CL22+CM22</f>
        <v>8681</v>
      </c>
      <c r="CL22" s="166">
        <v>8657</v>
      </c>
      <c r="CM22" s="166">
        <v>24</v>
      </c>
      <c r="CN22" s="166">
        <f>CO22+CP22</f>
        <v>8528</v>
      </c>
      <c r="CO22" s="166">
        <v>8504</v>
      </c>
      <c r="CP22" s="166">
        <v>24</v>
      </c>
      <c r="CQ22" s="166">
        <f>CR22+CS22</f>
        <v>8471</v>
      </c>
      <c r="CR22" s="166">
        <v>8386</v>
      </c>
      <c r="CS22" s="166">
        <v>85</v>
      </c>
      <c r="CT22" s="166">
        <f>CU22+CV22</f>
        <v>12792</v>
      </c>
      <c r="CU22" s="166">
        <v>12684</v>
      </c>
      <c r="CV22" s="166">
        <v>108</v>
      </c>
      <c r="CW22" s="166">
        <f>CX22+CY22</f>
        <v>12555</v>
      </c>
      <c r="CX22" s="166">
        <v>12454</v>
      </c>
      <c r="CY22" s="166">
        <v>101</v>
      </c>
      <c r="CZ22" s="166">
        <f>DA22+DB22</f>
        <v>12385</v>
      </c>
      <c r="DA22" s="166">
        <v>12261</v>
      </c>
      <c r="DB22" s="166">
        <v>124</v>
      </c>
      <c r="DC22" s="166">
        <f>DD22+DE22</f>
        <v>12628</v>
      </c>
      <c r="DD22" s="166">
        <v>12509</v>
      </c>
      <c r="DE22" s="166">
        <v>119</v>
      </c>
      <c r="DF22" s="166">
        <f>DG22+DH22</f>
        <v>12332</v>
      </c>
      <c r="DG22" s="166">
        <v>12226</v>
      </c>
      <c r="DH22" s="166">
        <v>106</v>
      </c>
      <c r="DI22" s="166">
        <f>DJ22+DK22</f>
        <v>12144</v>
      </c>
      <c r="DJ22" s="166">
        <v>12053</v>
      </c>
      <c r="DK22" s="166">
        <v>91</v>
      </c>
      <c r="DL22" s="166">
        <v>22090</v>
      </c>
      <c r="DM22" s="166">
        <v>22001.868999999999</v>
      </c>
      <c r="DN22" s="166">
        <v>88.603999999999999</v>
      </c>
      <c r="DO22" s="166">
        <f t="shared" si="42"/>
        <v>21542</v>
      </c>
      <c r="DP22" s="166">
        <v>21411</v>
      </c>
      <c r="DQ22" s="166">
        <v>131</v>
      </c>
      <c r="DR22" s="166">
        <f t="shared" si="6"/>
        <v>20663</v>
      </c>
      <c r="DS22" s="166">
        <v>20537</v>
      </c>
      <c r="DT22" s="166">
        <v>126</v>
      </c>
      <c r="DU22" s="166">
        <f t="shared" si="7"/>
        <v>19834</v>
      </c>
      <c r="DV22" s="166">
        <v>19707</v>
      </c>
      <c r="DW22" s="166">
        <v>127</v>
      </c>
      <c r="DX22" s="166">
        <v>20240.952000000001</v>
      </c>
      <c r="DY22" s="166">
        <v>20227.271000000001</v>
      </c>
      <c r="DZ22" s="166">
        <v>13.680999999999999</v>
      </c>
      <c r="EA22" s="374">
        <v>20305</v>
      </c>
      <c r="EB22" s="374">
        <v>20290</v>
      </c>
      <c r="EC22" s="374">
        <v>14</v>
      </c>
    </row>
    <row r="23" spans="1:133" s="178" customFormat="1" ht="15" customHeight="1" thickBot="1" x14ac:dyDescent="0.25">
      <c r="A23" s="175" t="s">
        <v>10</v>
      </c>
      <c r="B23" s="176">
        <f t="shared" ref="B23:J23" si="49">B12+B19</f>
        <v>281945</v>
      </c>
      <c r="C23" s="176">
        <f t="shared" si="49"/>
        <v>252580</v>
      </c>
      <c r="D23" s="176">
        <f t="shared" si="49"/>
        <v>29365</v>
      </c>
      <c r="E23" s="176">
        <f t="shared" si="49"/>
        <v>290568</v>
      </c>
      <c r="F23" s="176">
        <f t="shared" si="49"/>
        <v>261865</v>
      </c>
      <c r="G23" s="176">
        <f t="shared" si="49"/>
        <v>28703</v>
      </c>
      <c r="H23" s="176">
        <f t="shared" si="49"/>
        <v>317648</v>
      </c>
      <c r="I23" s="176">
        <f t="shared" si="49"/>
        <v>288824</v>
      </c>
      <c r="J23" s="176">
        <f t="shared" si="49"/>
        <v>28824</v>
      </c>
      <c r="K23" s="176">
        <f t="shared" ref="K23:AP23" si="50">K12+K19</f>
        <v>341144</v>
      </c>
      <c r="L23" s="176">
        <f t="shared" si="50"/>
        <v>309536</v>
      </c>
      <c r="M23" s="176">
        <f t="shared" si="50"/>
        <v>31608</v>
      </c>
      <c r="N23" s="176">
        <f t="shared" si="50"/>
        <v>355470</v>
      </c>
      <c r="O23" s="176">
        <f t="shared" si="50"/>
        <v>321004</v>
      </c>
      <c r="P23" s="176">
        <f t="shared" si="50"/>
        <v>34466</v>
      </c>
      <c r="Q23" s="176">
        <f t="shared" si="50"/>
        <v>403232</v>
      </c>
      <c r="R23" s="176">
        <f t="shared" si="50"/>
        <v>371185</v>
      </c>
      <c r="S23" s="176">
        <f t="shared" si="50"/>
        <v>32047</v>
      </c>
      <c r="T23" s="176">
        <f t="shared" si="50"/>
        <v>422662</v>
      </c>
      <c r="U23" s="176">
        <f t="shared" si="50"/>
        <v>380484</v>
      </c>
      <c r="V23" s="176">
        <f t="shared" si="50"/>
        <v>42178</v>
      </c>
      <c r="W23" s="176">
        <f t="shared" si="50"/>
        <v>454413</v>
      </c>
      <c r="X23" s="176">
        <f t="shared" si="50"/>
        <v>405372</v>
      </c>
      <c r="Y23" s="176">
        <f t="shared" si="50"/>
        <v>49040</v>
      </c>
      <c r="Z23" s="176">
        <f t="shared" si="50"/>
        <v>482141</v>
      </c>
      <c r="AA23" s="176">
        <f t="shared" si="50"/>
        <v>429253</v>
      </c>
      <c r="AB23" s="176">
        <f t="shared" si="50"/>
        <v>52888</v>
      </c>
      <c r="AC23" s="176">
        <f t="shared" si="50"/>
        <v>482478</v>
      </c>
      <c r="AD23" s="176">
        <f t="shared" si="50"/>
        <v>442120</v>
      </c>
      <c r="AE23" s="176">
        <f t="shared" si="50"/>
        <v>40358</v>
      </c>
      <c r="AF23" s="176">
        <f t="shared" si="50"/>
        <v>485685</v>
      </c>
      <c r="AG23" s="176">
        <f t="shared" si="50"/>
        <v>449929</v>
      </c>
      <c r="AH23" s="176">
        <f t="shared" si="50"/>
        <v>35756</v>
      </c>
      <c r="AI23" s="176">
        <f t="shared" si="50"/>
        <v>506222</v>
      </c>
      <c r="AJ23" s="176">
        <f t="shared" si="50"/>
        <v>471200</v>
      </c>
      <c r="AK23" s="176">
        <f t="shared" si="50"/>
        <v>35022</v>
      </c>
      <c r="AL23" s="176">
        <f t="shared" si="50"/>
        <v>532626</v>
      </c>
      <c r="AM23" s="176">
        <f t="shared" si="50"/>
        <v>494842</v>
      </c>
      <c r="AN23" s="176">
        <f t="shared" si="50"/>
        <v>37784</v>
      </c>
      <c r="AO23" s="176">
        <f t="shared" si="50"/>
        <v>558100</v>
      </c>
      <c r="AP23" s="176">
        <f t="shared" si="50"/>
        <v>520684</v>
      </c>
      <c r="AQ23" s="176">
        <f t="shared" ref="AQ23:BV23" si="51">AQ12+AQ19</f>
        <v>37416</v>
      </c>
      <c r="AR23" s="176">
        <f t="shared" si="51"/>
        <v>611903</v>
      </c>
      <c r="AS23" s="176">
        <f t="shared" si="51"/>
        <v>569514</v>
      </c>
      <c r="AT23" s="176">
        <f t="shared" si="51"/>
        <v>42389</v>
      </c>
      <c r="AU23" s="176">
        <f t="shared" si="51"/>
        <v>637485</v>
      </c>
      <c r="AV23" s="176">
        <f t="shared" si="51"/>
        <v>600671</v>
      </c>
      <c r="AW23" s="176">
        <f t="shared" si="51"/>
        <v>36814</v>
      </c>
      <c r="AX23" s="176">
        <f t="shared" si="51"/>
        <v>675387</v>
      </c>
      <c r="AY23" s="176">
        <f t="shared" si="51"/>
        <v>632858</v>
      </c>
      <c r="AZ23" s="176">
        <f t="shared" si="51"/>
        <v>42529</v>
      </c>
      <c r="BA23" s="176">
        <f t="shared" si="51"/>
        <v>689307</v>
      </c>
      <c r="BB23" s="176">
        <f t="shared" si="51"/>
        <v>644517</v>
      </c>
      <c r="BC23" s="176">
        <f t="shared" si="51"/>
        <v>44790</v>
      </c>
      <c r="BD23" s="176">
        <f t="shared" si="51"/>
        <v>722289</v>
      </c>
      <c r="BE23" s="176">
        <f t="shared" si="51"/>
        <v>669134</v>
      </c>
      <c r="BF23" s="176">
        <f t="shared" si="51"/>
        <v>53155</v>
      </c>
      <c r="BG23" s="176">
        <f t="shared" si="51"/>
        <v>761532</v>
      </c>
      <c r="BH23" s="176">
        <f t="shared" si="51"/>
        <v>709687</v>
      </c>
      <c r="BI23" s="176">
        <f t="shared" si="51"/>
        <v>51845</v>
      </c>
      <c r="BJ23" s="176">
        <f t="shared" si="51"/>
        <v>789550</v>
      </c>
      <c r="BK23" s="176">
        <f t="shared" si="51"/>
        <v>736547</v>
      </c>
      <c r="BL23" s="176">
        <f t="shared" si="51"/>
        <v>53003</v>
      </c>
      <c r="BM23" s="176">
        <f t="shared" si="51"/>
        <v>830520</v>
      </c>
      <c r="BN23" s="176">
        <f t="shared" si="51"/>
        <v>774681</v>
      </c>
      <c r="BO23" s="176">
        <f t="shared" si="51"/>
        <v>55839</v>
      </c>
      <c r="BP23" s="176">
        <f t="shared" si="51"/>
        <v>856288</v>
      </c>
      <c r="BQ23" s="176">
        <f t="shared" si="51"/>
        <v>800655</v>
      </c>
      <c r="BR23" s="176">
        <f t="shared" si="51"/>
        <v>55633</v>
      </c>
      <c r="BS23" s="176">
        <f t="shared" si="51"/>
        <v>879092</v>
      </c>
      <c r="BT23" s="176">
        <f t="shared" si="51"/>
        <v>827268</v>
      </c>
      <c r="BU23" s="176">
        <f t="shared" si="51"/>
        <v>51824</v>
      </c>
      <c r="BV23" s="176">
        <f t="shared" si="51"/>
        <v>894467</v>
      </c>
      <c r="BW23" s="176">
        <f t="shared" ref="BW23:DB23" si="52">BW12+BW19</f>
        <v>842316</v>
      </c>
      <c r="BX23" s="176">
        <f t="shared" si="52"/>
        <v>52151</v>
      </c>
      <c r="BY23" s="176">
        <f t="shared" si="52"/>
        <v>896697</v>
      </c>
      <c r="BZ23" s="176">
        <f t="shared" si="52"/>
        <v>839471</v>
      </c>
      <c r="CA23" s="176">
        <f t="shared" si="52"/>
        <v>57226</v>
      </c>
      <c r="CB23" s="176">
        <f t="shared" si="52"/>
        <v>907694</v>
      </c>
      <c r="CC23" s="176">
        <f t="shared" si="52"/>
        <v>848964</v>
      </c>
      <c r="CD23" s="176">
        <f t="shared" si="52"/>
        <v>58730</v>
      </c>
      <c r="CE23" s="176">
        <f t="shared" si="52"/>
        <v>908139</v>
      </c>
      <c r="CF23" s="176">
        <f t="shared" si="52"/>
        <v>847236</v>
      </c>
      <c r="CG23" s="176">
        <f t="shared" si="52"/>
        <v>60903</v>
      </c>
      <c r="CH23" s="176">
        <f t="shared" si="52"/>
        <v>922229</v>
      </c>
      <c r="CI23" s="176">
        <f t="shared" si="52"/>
        <v>855245</v>
      </c>
      <c r="CJ23" s="176">
        <f t="shared" si="52"/>
        <v>66984</v>
      </c>
      <c r="CK23" s="176">
        <f t="shared" si="52"/>
        <v>931132</v>
      </c>
      <c r="CL23" s="176">
        <f t="shared" si="52"/>
        <v>872139</v>
      </c>
      <c r="CM23" s="176">
        <f t="shared" si="52"/>
        <v>58993</v>
      </c>
      <c r="CN23" s="176">
        <f t="shared" si="52"/>
        <v>987364</v>
      </c>
      <c r="CO23" s="176">
        <f t="shared" si="52"/>
        <v>924462</v>
      </c>
      <c r="CP23" s="176">
        <f t="shared" si="52"/>
        <v>62902</v>
      </c>
      <c r="CQ23" s="176">
        <f t="shared" si="52"/>
        <v>1032040</v>
      </c>
      <c r="CR23" s="176">
        <f t="shared" si="52"/>
        <v>966146</v>
      </c>
      <c r="CS23" s="176">
        <f t="shared" si="52"/>
        <v>65894</v>
      </c>
      <c r="CT23" s="176">
        <f t="shared" si="52"/>
        <v>1034814</v>
      </c>
      <c r="CU23" s="176">
        <f t="shared" si="52"/>
        <v>957715</v>
      </c>
      <c r="CV23" s="176">
        <f t="shared" si="52"/>
        <v>77099</v>
      </c>
      <c r="CW23" s="176">
        <f t="shared" si="52"/>
        <v>1029762</v>
      </c>
      <c r="CX23" s="176">
        <f t="shared" si="52"/>
        <v>952796</v>
      </c>
      <c r="CY23" s="176">
        <f t="shared" si="52"/>
        <v>76966</v>
      </c>
      <c r="CZ23" s="176">
        <f t="shared" si="52"/>
        <v>1050983</v>
      </c>
      <c r="DA23" s="176">
        <f t="shared" si="52"/>
        <v>948243</v>
      </c>
      <c r="DB23" s="176">
        <f t="shared" si="52"/>
        <v>102740</v>
      </c>
      <c r="DC23" s="176">
        <f t="shared" ref="DC23:DH23" si="53">DC12+DC19</f>
        <v>1079753</v>
      </c>
      <c r="DD23" s="176">
        <f t="shared" si="53"/>
        <v>986536</v>
      </c>
      <c r="DE23" s="176">
        <f t="shared" si="53"/>
        <v>93217</v>
      </c>
      <c r="DF23" s="176">
        <f t="shared" si="53"/>
        <v>1101762</v>
      </c>
      <c r="DG23" s="176">
        <f t="shared" si="53"/>
        <v>1012505</v>
      </c>
      <c r="DH23" s="176">
        <f t="shared" si="53"/>
        <v>89257</v>
      </c>
      <c r="DI23" s="176">
        <f t="shared" ref="DI23:DQ23" si="54">DI12+DI19</f>
        <v>1105244</v>
      </c>
      <c r="DJ23" s="176">
        <f t="shared" si="54"/>
        <v>1015416</v>
      </c>
      <c r="DK23" s="176">
        <f t="shared" si="54"/>
        <v>89828</v>
      </c>
      <c r="DL23" s="176">
        <f t="shared" si="54"/>
        <v>1270139</v>
      </c>
      <c r="DM23" s="176">
        <f t="shared" si="54"/>
        <v>1184862.523</v>
      </c>
      <c r="DN23" s="176">
        <f t="shared" si="54"/>
        <v>85276.441000000006</v>
      </c>
      <c r="DO23" s="176">
        <f t="shared" si="54"/>
        <v>1293559</v>
      </c>
      <c r="DP23" s="176">
        <f t="shared" si="54"/>
        <v>1223070</v>
      </c>
      <c r="DQ23" s="176">
        <f t="shared" si="54"/>
        <v>70489</v>
      </c>
      <c r="DR23" s="176">
        <f t="shared" si="6"/>
        <v>1294139</v>
      </c>
      <c r="DS23" s="176">
        <f>DS12+DS19</f>
        <v>1223705</v>
      </c>
      <c r="DT23" s="176">
        <f>DT12+DT19</f>
        <v>70434</v>
      </c>
      <c r="DU23" s="375">
        <f t="shared" si="7"/>
        <v>1291184</v>
      </c>
      <c r="DV23" s="375">
        <f>DV12+DV19</f>
        <v>1218218</v>
      </c>
      <c r="DW23" s="375">
        <f>DW12+DW19</f>
        <v>72966</v>
      </c>
      <c r="DX23" s="375">
        <f t="shared" si="8"/>
        <v>1311671.8330000001</v>
      </c>
      <c r="DY23" s="375">
        <f>DY12+DY19</f>
        <v>1239871.3720000002</v>
      </c>
      <c r="DZ23" s="375">
        <f>DZ12+DZ19</f>
        <v>71800.460999999996</v>
      </c>
      <c r="EA23" s="375">
        <f t="shared" ref="EA23" si="55">EB23+EC23</f>
        <v>1298328</v>
      </c>
      <c r="EB23" s="375">
        <f>EB12+EB19</f>
        <v>1229205</v>
      </c>
      <c r="EC23" s="375">
        <f>EC12+EC19</f>
        <v>69123</v>
      </c>
    </row>
    <row r="24" spans="1:133" s="88" customFormat="1" ht="4.5" customHeight="1" thickTop="1" x14ac:dyDescent="0.2">
      <c r="A24" s="441"/>
      <c r="B24" s="121"/>
      <c r="C24" s="121"/>
      <c r="D24" s="121"/>
      <c r="E24" s="121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1"/>
      <c r="AG24" s="121"/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1"/>
      <c r="AS24" s="121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1"/>
      <c r="BF24" s="121"/>
      <c r="BG24" s="121"/>
      <c r="BH24" s="121"/>
      <c r="BI24" s="121"/>
      <c r="BJ24" s="121"/>
      <c r="BK24" s="121"/>
      <c r="BL24" s="121"/>
      <c r="BM24" s="121"/>
      <c r="BN24" s="121"/>
      <c r="BO24" s="121"/>
      <c r="BP24" s="121"/>
      <c r="BQ24" s="121"/>
      <c r="BR24" s="121"/>
      <c r="BS24" s="121"/>
      <c r="BT24" s="121"/>
      <c r="BU24" s="121"/>
      <c r="BV24" s="121"/>
      <c r="BW24" s="121"/>
      <c r="BX24" s="121"/>
      <c r="BY24" s="121"/>
      <c r="BZ24" s="121"/>
      <c r="CA24" s="121"/>
      <c r="CB24" s="121"/>
      <c r="CC24" s="121"/>
      <c r="CD24" s="121"/>
      <c r="CE24" s="121"/>
      <c r="CF24" s="121"/>
      <c r="CG24" s="121"/>
      <c r="CH24" s="121"/>
      <c r="CI24" s="121"/>
      <c r="CJ24" s="121"/>
      <c r="CK24" s="121"/>
      <c r="CL24" s="121"/>
      <c r="CM24" s="121"/>
      <c r="CN24" s="121"/>
      <c r="CO24" s="121"/>
      <c r="CP24" s="121"/>
      <c r="CQ24" s="121"/>
      <c r="CR24" s="121"/>
      <c r="CS24" s="121"/>
      <c r="CT24" s="121"/>
      <c r="CU24" s="121"/>
      <c r="CV24" s="121"/>
      <c r="CW24" s="121"/>
      <c r="CX24" s="121"/>
      <c r="CY24" s="121"/>
      <c r="CZ24" s="121"/>
      <c r="DA24" s="121"/>
      <c r="DB24" s="121"/>
      <c r="DC24" s="121"/>
      <c r="DD24" s="121"/>
      <c r="DE24" s="121"/>
      <c r="DF24" s="121"/>
      <c r="DG24" s="121"/>
      <c r="DH24" s="121"/>
      <c r="DI24" s="121"/>
      <c r="DJ24" s="121"/>
      <c r="DK24" s="121"/>
      <c r="DL24" s="121"/>
      <c r="DM24" s="121"/>
      <c r="DN24" s="121"/>
      <c r="DO24" s="121"/>
      <c r="DP24" s="121"/>
      <c r="DQ24" s="121"/>
      <c r="DR24" s="121"/>
      <c r="DS24" s="121"/>
      <c r="DT24" s="121"/>
      <c r="DU24" s="121"/>
      <c r="DV24" s="121"/>
      <c r="DW24" s="121"/>
      <c r="DX24" s="121"/>
      <c r="DY24" s="121"/>
      <c r="DZ24" s="121"/>
      <c r="EA24" s="121"/>
      <c r="EB24" s="121"/>
      <c r="EC24" s="121"/>
    </row>
    <row r="25" spans="1:133" s="178" customFormat="1" ht="15" customHeight="1" thickBot="1" x14ac:dyDescent="0.25">
      <c r="A25" s="571" t="s">
        <v>78</v>
      </c>
      <c r="B25" s="158"/>
      <c r="C25" s="158"/>
      <c r="D25" s="158"/>
      <c r="E25" s="158"/>
      <c r="F25" s="158"/>
      <c r="G25" s="158"/>
      <c r="H25" s="158"/>
      <c r="I25" s="158"/>
      <c r="J25" s="158"/>
      <c r="K25" s="158"/>
      <c r="L25" s="158"/>
      <c r="M25" s="158"/>
      <c r="N25" s="158"/>
      <c r="O25" s="158"/>
      <c r="P25" s="158"/>
      <c r="Q25" s="158"/>
      <c r="R25" s="158"/>
      <c r="S25" s="158"/>
      <c r="T25" s="158"/>
      <c r="U25" s="158"/>
      <c r="V25" s="158"/>
      <c r="W25" s="158"/>
      <c r="X25" s="158"/>
      <c r="Y25" s="158"/>
      <c r="Z25" s="158"/>
      <c r="AA25" s="158"/>
      <c r="AB25" s="158"/>
      <c r="AC25" s="158"/>
      <c r="AD25" s="158"/>
      <c r="AE25" s="158"/>
      <c r="AF25" s="158"/>
      <c r="AG25" s="158"/>
      <c r="AH25" s="158"/>
      <c r="AI25" s="158"/>
      <c r="AJ25" s="158"/>
      <c r="AK25" s="158"/>
      <c r="AL25" s="158"/>
      <c r="AM25" s="158"/>
      <c r="AN25" s="158"/>
      <c r="AO25" s="158"/>
      <c r="AP25" s="158"/>
      <c r="AQ25" s="158"/>
      <c r="AR25" s="158"/>
      <c r="AS25" s="158"/>
      <c r="AT25" s="158"/>
      <c r="AU25" s="158"/>
      <c r="AV25" s="158"/>
      <c r="AW25" s="158"/>
      <c r="AX25" s="158"/>
      <c r="AY25" s="158"/>
      <c r="AZ25" s="158"/>
      <c r="BA25" s="158"/>
      <c r="BB25" s="158"/>
      <c r="BC25" s="158"/>
      <c r="BD25" s="158"/>
      <c r="BE25" s="158"/>
      <c r="BF25" s="158"/>
      <c r="BG25" s="158"/>
      <c r="BH25" s="158"/>
      <c r="BI25" s="158"/>
      <c r="BJ25" s="158"/>
      <c r="BK25" s="158"/>
      <c r="BL25" s="158"/>
      <c r="BM25" s="158"/>
      <c r="BN25" s="158"/>
      <c r="BO25" s="158"/>
      <c r="BP25" s="158"/>
      <c r="BQ25" s="158"/>
      <c r="BR25" s="158"/>
      <c r="BS25" s="158"/>
      <c r="BT25" s="158"/>
      <c r="BU25" s="158"/>
      <c r="BV25" s="158"/>
      <c r="BW25" s="158"/>
      <c r="BX25" s="158"/>
      <c r="BY25" s="158"/>
      <c r="BZ25" s="158"/>
      <c r="CA25" s="158"/>
      <c r="CB25" s="158"/>
      <c r="CC25" s="158"/>
      <c r="CD25" s="158"/>
      <c r="CE25" s="158"/>
      <c r="CF25" s="158"/>
      <c r="CG25" s="158"/>
      <c r="CH25" s="158"/>
      <c r="CI25" s="158"/>
      <c r="CJ25" s="158"/>
      <c r="CK25" s="158"/>
      <c r="CL25" s="158"/>
      <c r="CM25" s="158"/>
      <c r="CN25" s="158"/>
      <c r="CO25" s="158"/>
      <c r="CP25" s="158"/>
      <c r="CQ25" s="158"/>
      <c r="CR25" s="158"/>
      <c r="CS25" s="158"/>
      <c r="CT25" s="158"/>
      <c r="CU25" s="158"/>
      <c r="CV25" s="158"/>
      <c r="CW25" s="158"/>
      <c r="CX25" s="158"/>
      <c r="CY25" s="158"/>
      <c r="CZ25" s="158"/>
      <c r="DA25" s="158"/>
      <c r="DB25" s="158"/>
      <c r="DC25" s="158"/>
      <c r="DD25" s="158"/>
      <c r="DE25" s="158"/>
      <c r="DF25" s="158"/>
      <c r="DG25" s="158"/>
      <c r="DH25" s="158"/>
      <c r="DI25" s="158"/>
      <c r="DJ25" s="158"/>
      <c r="DK25" s="158"/>
      <c r="DL25" s="158"/>
      <c r="DM25" s="158"/>
      <c r="DN25" s="158"/>
      <c r="DO25" s="158"/>
      <c r="DP25" s="158"/>
      <c r="DQ25" s="158"/>
      <c r="DR25" s="158"/>
      <c r="DS25" s="158"/>
      <c r="DT25" s="158"/>
      <c r="DU25" s="158"/>
      <c r="DV25" s="158"/>
      <c r="DW25" s="158"/>
      <c r="DX25" s="158"/>
      <c r="DY25" s="158"/>
      <c r="DZ25" s="158"/>
      <c r="EA25" s="158"/>
      <c r="EB25" s="158"/>
      <c r="EC25" s="158"/>
    </row>
    <row r="26" spans="1:133" s="164" customFormat="1" ht="15" customHeight="1" thickTop="1" x14ac:dyDescent="0.2">
      <c r="A26" s="442" t="s">
        <v>610</v>
      </c>
      <c r="B26" s="160">
        <f t="shared" ref="B26:J26" si="56">SUM(B27:B36)</f>
        <v>255691</v>
      </c>
      <c r="C26" s="160">
        <f t="shared" si="56"/>
        <v>231528</v>
      </c>
      <c r="D26" s="160">
        <f t="shared" si="56"/>
        <v>24163</v>
      </c>
      <c r="E26" s="160">
        <f t="shared" si="56"/>
        <v>262818</v>
      </c>
      <c r="F26" s="160">
        <f t="shared" si="56"/>
        <v>243540</v>
      </c>
      <c r="G26" s="160">
        <f t="shared" si="56"/>
        <v>19278</v>
      </c>
      <c r="H26" s="161">
        <f t="shared" si="56"/>
        <v>288083</v>
      </c>
      <c r="I26" s="161">
        <f t="shared" si="56"/>
        <v>268594</v>
      </c>
      <c r="J26" s="161">
        <f t="shared" si="56"/>
        <v>19489</v>
      </c>
      <c r="K26" s="161">
        <f t="shared" ref="K26:AP26" si="57">SUM(K27:K36)</f>
        <v>310442</v>
      </c>
      <c r="L26" s="161">
        <f t="shared" si="57"/>
        <v>288034</v>
      </c>
      <c r="M26" s="161">
        <f t="shared" si="57"/>
        <v>22508</v>
      </c>
      <c r="N26" s="161">
        <f t="shared" si="57"/>
        <v>322213</v>
      </c>
      <c r="O26" s="161">
        <f t="shared" si="57"/>
        <v>298017</v>
      </c>
      <c r="P26" s="161">
        <f t="shared" si="57"/>
        <v>24196</v>
      </c>
      <c r="Q26" s="161">
        <f t="shared" si="57"/>
        <v>369151</v>
      </c>
      <c r="R26" s="161">
        <f t="shared" si="57"/>
        <v>346734</v>
      </c>
      <c r="S26" s="161">
        <f t="shared" si="57"/>
        <v>22417</v>
      </c>
      <c r="T26" s="161">
        <f t="shared" si="57"/>
        <v>387640</v>
      </c>
      <c r="U26" s="161">
        <f t="shared" si="57"/>
        <v>351878</v>
      </c>
      <c r="V26" s="161">
        <f t="shared" si="57"/>
        <v>35762</v>
      </c>
      <c r="W26" s="161">
        <f t="shared" si="57"/>
        <v>419562</v>
      </c>
      <c r="X26" s="161">
        <f t="shared" si="57"/>
        <v>378138</v>
      </c>
      <c r="Y26" s="161">
        <f t="shared" si="57"/>
        <v>41424</v>
      </c>
      <c r="Z26" s="161">
        <f t="shared" si="57"/>
        <v>446225</v>
      </c>
      <c r="AA26" s="161">
        <f t="shared" si="57"/>
        <v>399826</v>
      </c>
      <c r="AB26" s="161">
        <f t="shared" si="57"/>
        <v>46399</v>
      </c>
      <c r="AC26" s="161">
        <f t="shared" si="57"/>
        <v>444574</v>
      </c>
      <c r="AD26" s="161">
        <f t="shared" si="57"/>
        <v>411153</v>
      </c>
      <c r="AE26" s="161">
        <f t="shared" si="57"/>
        <v>33421</v>
      </c>
      <c r="AF26" s="161">
        <f t="shared" si="57"/>
        <v>446151</v>
      </c>
      <c r="AG26" s="161">
        <f t="shared" si="57"/>
        <v>418227</v>
      </c>
      <c r="AH26" s="161">
        <f t="shared" si="57"/>
        <v>27924</v>
      </c>
      <c r="AI26" s="161">
        <f t="shared" si="57"/>
        <v>463351</v>
      </c>
      <c r="AJ26" s="161">
        <f t="shared" si="57"/>
        <v>436097</v>
      </c>
      <c r="AK26" s="161">
        <f t="shared" si="57"/>
        <v>27254</v>
      </c>
      <c r="AL26" s="161">
        <f t="shared" si="57"/>
        <v>488430</v>
      </c>
      <c r="AM26" s="161">
        <f t="shared" si="57"/>
        <v>459326</v>
      </c>
      <c r="AN26" s="161">
        <f t="shared" si="57"/>
        <v>29104</v>
      </c>
      <c r="AO26" s="161">
        <f t="shared" si="57"/>
        <v>512790</v>
      </c>
      <c r="AP26" s="161">
        <f t="shared" si="57"/>
        <v>483098</v>
      </c>
      <c r="AQ26" s="161">
        <f t="shared" ref="AQ26:BV26" si="58">SUM(AQ27:AQ36)</f>
        <v>29692</v>
      </c>
      <c r="AR26" s="161">
        <f t="shared" si="58"/>
        <v>564794</v>
      </c>
      <c r="AS26" s="161">
        <f t="shared" si="58"/>
        <v>522204</v>
      </c>
      <c r="AT26" s="161">
        <f t="shared" si="58"/>
        <v>42590</v>
      </c>
      <c r="AU26" s="161">
        <f t="shared" si="58"/>
        <v>588610</v>
      </c>
      <c r="AV26" s="161">
        <f t="shared" si="58"/>
        <v>552798</v>
      </c>
      <c r="AW26" s="161">
        <f t="shared" si="58"/>
        <v>35812</v>
      </c>
      <c r="AX26" s="161">
        <f t="shared" si="58"/>
        <v>623069</v>
      </c>
      <c r="AY26" s="161">
        <f t="shared" si="58"/>
        <v>576682</v>
      </c>
      <c r="AZ26" s="161">
        <f t="shared" si="58"/>
        <v>46387</v>
      </c>
      <c r="BA26" s="161">
        <f t="shared" si="58"/>
        <v>635360</v>
      </c>
      <c r="BB26" s="161">
        <f t="shared" si="58"/>
        <v>584328</v>
      </c>
      <c r="BC26" s="161">
        <f t="shared" si="58"/>
        <v>51032</v>
      </c>
      <c r="BD26" s="161">
        <f t="shared" si="58"/>
        <v>667312</v>
      </c>
      <c r="BE26" s="161">
        <f t="shared" si="58"/>
        <v>605479</v>
      </c>
      <c r="BF26" s="161">
        <f t="shared" si="58"/>
        <v>61833</v>
      </c>
      <c r="BG26" s="161">
        <f t="shared" si="58"/>
        <v>704664</v>
      </c>
      <c r="BH26" s="161">
        <f t="shared" si="58"/>
        <v>644552</v>
      </c>
      <c r="BI26" s="161">
        <f t="shared" si="58"/>
        <v>60112</v>
      </c>
      <c r="BJ26" s="161">
        <f t="shared" si="58"/>
        <v>730214</v>
      </c>
      <c r="BK26" s="161">
        <f t="shared" si="58"/>
        <v>668980</v>
      </c>
      <c r="BL26" s="161">
        <f t="shared" si="58"/>
        <v>61234</v>
      </c>
      <c r="BM26" s="161">
        <f t="shared" si="58"/>
        <v>765398</v>
      </c>
      <c r="BN26" s="161">
        <f t="shared" si="58"/>
        <v>697437</v>
      </c>
      <c r="BO26" s="161">
        <f t="shared" si="58"/>
        <v>67961</v>
      </c>
      <c r="BP26" s="161">
        <f t="shared" si="58"/>
        <v>789036</v>
      </c>
      <c r="BQ26" s="161">
        <f t="shared" si="58"/>
        <v>721613</v>
      </c>
      <c r="BR26" s="161">
        <f t="shared" si="58"/>
        <v>67423</v>
      </c>
      <c r="BS26" s="161">
        <f t="shared" si="58"/>
        <v>807799</v>
      </c>
      <c r="BT26" s="161">
        <f t="shared" si="58"/>
        <v>742212</v>
      </c>
      <c r="BU26" s="161">
        <f t="shared" si="58"/>
        <v>65587</v>
      </c>
      <c r="BV26" s="161">
        <f t="shared" si="58"/>
        <v>823787</v>
      </c>
      <c r="BW26" s="161">
        <f t="shared" ref="BW26:DB26" si="59">SUM(BW27:BW36)</f>
        <v>760163</v>
      </c>
      <c r="BX26" s="161">
        <f t="shared" si="59"/>
        <v>63624</v>
      </c>
      <c r="BY26" s="161">
        <f t="shared" si="59"/>
        <v>829426</v>
      </c>
      <c r="BZ26" s="161">
        <f t="shared" si="59"/>
        <v>762649</v>
      </c>
      <c r="CA26" s="161">
        <f t="shared" si="59"/>
        <v>66777</v>
      </c>
      <c r="CB26" s="161">
        <f t="shared" si="59"/>
        <v>839393</v>
      </c>
      <c r="CC26" s="161">
        <f t="shared" si="59"/>
        <v>768139</v>
      </c>
      <c r="CD26" s="161">
        <f t="shared" si="59"/>
        <v>71254</v>
      </c>
      <c r="CE26" s="161">
        <f t="shared" si="59"/>
        <v>835917</v>
      </c>
      <c r="CF26" s="161">
        <f t="shared" si="59"/>
        <v>763968</v>
      </c>
      <c r="CG26" s="161">
        <f t="shared" si="59"/>
        <v>71949</v>
      </c>
      <c r="CH26" s="161">
        <f t="shared" si="59"/>
        <v>847795</v>
      </c>
      <c r="CI26" s="161">
        <f t="shared" si="59"/>
        <v>771464</v>
      </c>
      <c r="CJ26" s="161">
        <f t="shared" si="59"/>
        <v>76331</v>
      </c>
      <c r="CK26" s="161">
        <f t="shared" si="59"/>
        <v>853622</v>
      </c>
      <c r="CL26" s="161">
        <f t="shared" si="59"/>
        <v>786426</v>
      </c>
      <c r="CM26" s="161">
        <f t="shared" si="59"/>
        <v>67196</v>
      </c>
      <c r="CN26" s="161">
        <f t="shared" si="59"/>
        <v>907367</v>
      </c>
      <c r="CO26" s="161">
        <f t="shared" si="59"/>
        <v>832828</v>
      </c>
      <c r="CP26" s="161">
        <f t="shared" si="59"/>
        <v>74539</v>
      </c>
      <c r="CQ26" s="161">
        <f t="shared" si="59"/>
        <v>949846</v>
      </c>
      <c r="CR26" s="161">
        <f t="shared" si="59"/>
        <v>871066</v>
      </c>
      <c r="CS26" s="161">
        <f t="shared" si="59"/>
        <v>78780</v>
      </c>
      <c r="CT26" s="161">
        <f t="shared" si="59"/>
        <v>949065</v>
      </c>
      <c r="CU26" s="161">
        <f t="shared" si="59"/>
        <v>855770</v>
      </c>
      <c r="CV26" s="161">
        <f t="shared" si="59"/>
        <v>93295</v>
      </c>
      <c r="CW26" s="161">
        <f t="shared" si="59"/>
        <v>940911</v>
      </c>
      <c r="CX26" s="161">
        <f t="shared" si="59"/>
        <v>854762</v>
      </c>
      <c r="CY26" s="161">
        <f t="shared" si="59"/>
        <v>86149</v>
      </c>
      <c r="CZ26" s="161">
        <f t="shared" si="59"/>
        <v>962811</v>
      </c>
      <c r="DA26" s="161">
        <f t="shared" si="59"/>
        <v>849249</v>
      </c>
      <c r="DB26" s="161">
        <f t="shared" si="59"/>
        <v>113562</v>
      </c>
      <c r="DC26" s="161">
        <f t="shared" ref="DC26:DH26" si="60">SUM(DC27:DC36)</f>
        <v>988832</v>
      </c>
      <c r="DD26" s="161">
        <f t="shared" si="60"/>
        <v>892704</v>
      </c>
      <c r="DE26" s="161">
        <f t="shared" si="60"/>
        <v>96128</v>
      </c>
      <c r="DF26" s="161">
        <f t="shared" si="60"/>
        <v>1006424.782</v>
      </c>
      <c r="DG26" s="161">
        <f t="shared" si="60"/>
        <v>911874.98499999999</v>
      </c>
      <c r="DH26" s="161">
        <f t="shared" si="60"/>
        <v>94549.797000000006</v>
      </c>
      <c r="DI26" s="161">
        <f t="shared" ref="DI26:DN26" si="61">SUM(DI27:DI36)</f>
        <v>1006876.9709999999</v>
      </c>
      <c r="DJ26" s="161">
        <f t="shared" si="61"/>
        <v>911158.21199999994</v>
      </c>
      <c r="DK26" s="161">
        <f t="shared" si="61"/>
        <v>95718.758999999991</v>
      </c>
      <c r="DL26" s="161">
        <f t="shared" si="61"/>
        <v>1169589</v>
      </c>
      <c r="DM26" s="161">
        <f t="shared" si="61"/>
        <v>1079679.8929999999</v>
      </c>
      <c r="DN26" s="161">
        <f t="shared" si="61"/>
        <v>89909.054999999993</v>
      </c>
      <c r="DO26" s="161">
        <f t="shared" ref="DO26:DQ26" si="62">SUM(DO27:DO36)</f>
        <v>1191092.425</v>
      </c>
      <c r="DP26" s="161">
        <f t="shared" si="62"/>
        <v>1115250.2200000002</v>
      </c>
      <c r="DQ26" s="161">
        <f t="shared" si="62"/>
        <v>75842.205000000016</v>
      </c>
      <c r="DR26" s="161">
        <f t="shared" ref="DR26:DR39" si="63">DS26+DT26</f>
        <v>1187569</v>
      </c>
      <c r="DS26" s="161">
        <f>SUM(DS27:DS36)</f>
        <v>1113397</v>
      </c>
      <c r="DT26" s="161">
        <f>SUM(DT27:DT36)</f>
        <v>74172</v>
      </c>
      <c r="DU26" s="161">
        <f t="shared" ref="DU26:DU33" si="64">DV26+DW26</f>
        <v>1182377</v>
      </c>
      <c r="DV26" s="161">
        <f>SUM(DV27:DV36)</f>
        <v>1113156</v>
      </c>
      <c r="DW26" s="161">
        <f>SUM(DW27:DW36)</f>
        <v>69221</v>
      </c>
      <c r="DX26" s="161">
        <f t="shared" ref="DX26" si="65">DY26+DZ26</f>
        <v>1199303.6160000002</v>
      </c>
      <c r="DY26" s="161">
        <f>SUM(DY27:DY36)</f>
        <v>1134115.7970000003</v>
      </c>
      <c r="DZ26" s="161">
        <f>SUM(DZ27:DZ36)</f>
        <v>65187.818999999996</v>
      </c>
      <c r="EA26" s="377">
        <f t="shared" ref="EA26" si="66">EB26+EC26</f>
        <v>1185764</v>
      </c>
      <c r="EB26" s="377">
        <f>SUM(EB27:EB36)</f>
        <v>1122692</v>
      </c>
      <c r="EC26" s="377">
        <f>SUM(EC27:EC36)</f>
        <v>63072</v>
      </c>
    </row>
    <row r="27" spans="1:133" s="164" customFormat="1" ht="15" customHeight="1" x14ac:dyDescent="0.2">
      <c r="A27" s="441" t="s">
        <v>79</v>
      </c>
      <c r="B27" s="165">
        <f t="shared" ref="B27:B33" si="67">C27+D27</f>
        <v>84161</v>
      </c>
      <c r="C27" s="165">
        <v>80454</v>
      </c>
      <c r="D27" s="165">
        <v>3707</v>
      </c>
      <c r="E27" s="165">
        <f t="shared" ref="E27:E33" si="68">F27+G27</f>
        <v>82601</v>
      </c>
      <c r="F27" s="165">
        <v>80396</v>
      </c>
      <c r="G27" s="165">
        <v>2205</v>
      </c>
      <c r="H27" s="166">
        <f t="shared" ref="H27:H33" si="69">I27+J27</f>
        <v>86736</v>
      </c>
      <c r="I27" s="166">
        <v>84029</v>
      </c>
      <c r="J27" s="166">
        <v>2707</v>
      </c>
      <c r="K27" s="166">
        <f>L27+M27</f>
        <v>98323</v>
      </c>
      <c r="L27" s="166">
        <v>96039</v>
      </c>
      <c r="M27" s="166">
        <v>2284</v>
      </c>
      <c r="N27" s="166">
        <f>O27+P27</f>
        <v>106710</v>
      </c>
      <c r="O27" s="166">
        <v>103218</v>
      </c>
      <c r="P27" s="166">
        <v>3492</v>
      </c>
      <c r="Q27" s="166">
        <f>R27+S27</f>
        <v>122752</v>
      </c>
      <c r="R27" s="166">
        <v>119794</v>
      </c>
      <c r="S27" s="166">
        <v>2958</v>
      </c>
      <c r="T27" s="166">
        <f>U27+V27</f>
        <v>139170</v>
      </c>
      <c r="U27" s="166">
        <v>135375</v>
      </c>
      <c r="V27" s="166">
        <v>3795</v>
      </c>
      <c r="W27" s="166">
        <f t="shared" ref="W27:W33" si="70">X27+Y27</f>
        <v>164494</v>
      </c>
      <c r="X27" s="166">
        <v>158409</v>
      </c>
      <c r="Y27" s="166">
        <v>6085</v>
      </c>
      <c r="Z27" s="166">
        <f t="shared" ref="Z27:Z33" si="71">AA27+AB27</f>
        <v>169103</v>
      </c>
      <c r="AA27" s="166">
        <v>160592</v>
      </c>
      <c r="AB27" s="166">
        <v>8511</v>
      </c>
      <c r="AC27" s="166">
        <f t="shared" ref="AC27:AC33" si="72">AD27+AE27</f>
        <v>167512</v>
      </c>
      <c r="AD27" s="166">
        <v>161044</v>
      </c>
      <c r="AE27" s="166">
        <v>6468</v>
      </c>
      <c r="AF27" s="166">
        <f t="shared" ref="AF27:AF33" si="73">AG27+AH27</f>
        <v>167987</v>
      </c>
      <c r="AG27" s="166">
        <v>161686</v>
      </c>
      <c r="AH27" s="166">
        <v>6301</v>
      </c>
      <c r="AI27" s="166">
        <f t="shared" ref="AI27:AI33" si="74">AJ27+AK27</f>
        <v>171073</v>
      </c>
      <c r="AJ27" s="166">
        <v>165197</v>
      </c>
      <c r="AK27" s="166">
        <v>5876</v>
      </c>
      <c r="AL27" s="166">
        <f t="shared" ref="AL27:AL33" si="75">AM27+AN27</f>
        <v>170721</v>
      </c>
      <c r="AM27" s="166">
        <v>165134</v>
      </c>
      <c r="AN27" s="166">
        <v>5587</v>
      </c>
      <c r="AO27" s="166">
        <f t="shared" ref="AO27:AO33" si="76">AP27+AQ27</f>
        <v>178452</v>
      </c>
      <c r="AP27" s="166">
        <v>174408</v>
      </c>
      <c r="AQ27" s="166">
        <v>4044</v>
      </c>
      <c r="AR27" s="166">
        <f t="shared" ref="AR27:AR33" si="77">AS27+AT27</f>
        <v>186194</v>
      </c>
      <c r="AS27" s="166">
        <v>175622</v>
      </c>
      <c r="AT27" s="166">
        <v>10572</v>
      </c>
      <c r="AU27" s="166">
        <f t="shared" ref="AU27:AU33" si="78">AV27+AW27</f>
        <v>193201</v>
      </c>
      <c r="AV27" s="166">
        <v>185219</v>
      </c>
      <c r="AW27" s="166">
        <v>7982</v>
      </c>
      <c r="AX27" s="166">
        <f t="shared" ref="AX27:AX33" si="79">AY27+AZ27</f>
        <v>203822</v>
      </c>
      <c r="AY27" s="166">
        <v>190781</v>
      </c>
      <c r="AZ27" s="166">
        <v>13041</v>
      </c>
      <c r="BA27" s="166">
        <f t="shared" ref="BA27:BA33" si="80">BB27+BC27</f>
        <v>213561</v>
      </c>
      <c r="BB27" s="166">
        <v>195359</v>
      </c>
      <c r="BC27" s="166">
        <v>18202</v>
      </c>
      <c r="BD27" s="166">
        <f t="shared" ref="BD27:BD33" si="81">BE27+BF27</f>
        <v>224664</v>
      </c>
      <c r="BE27" s="166">
        <v>200843</v>
      </c>
      <c r="BF27" s="166">
        <v>23821</v>
      </c>
      <c r="BG27" s="166">
        <f t="shared" ref="BG27:BG33" si="82">BH27+BI27</f>
        <v>217424</v>
      </c>
      <c r="BH27" s="166">
        <v>196902</v>
      </c>
      <c r="BI27" s="166">
        <v>20522</v>
      </c>
      <c r="BJ27" s="166">
        <f t="shared" ref="BJ27:BJ33" si="83">BK27+BL27</f>
        <v>213877</v>
      </c>
      <c r="BK27" s="166">
        <v>189802</v>
      </c>
      <c r="BL27" s="166">
        <v>24075</v>
      </c>
      <c r="BM27" s="166">
        <f t="shared" ref="BM27:BM33" si="84">BN27+BO27</f>
        <v>217070</v>
      </c>
      <c r="BN27" s="166">
        <v>190084</v>
      </c>
      <c r="BO27" s="166">
        <v>26986</v>
      </c>
      <c r="BP27" s="166">
        <f t="shared" ref="BP27:BP33" si="85">BQ27+BR27</f>
        <v>212870</v>
      </c>
      <c r="BQ27" s="166">
        <v>188665</v>
      </c>
      <c r="BR27" s="166">
        <v>24205</v>
      </c>
      <c r="BS27" s="166">
        <f t="shared" ref="BS27:BS33" si="86">BT27+BU27</f>
        <v>211857</v>
      </c>
      <c r="BT27" s="166">
        <v>188144</v>
      </c>
      <c r="BU27" s="166">
        <v>23713</v>
      </c>
      <c r="BV27" s="166">
        <f t="shared" ref="BV27:BV33" si="87">BW27+BX27</f>
        <v>205870</v>
      </c>
      <c r="BW27" s="166">
        <v>183673</v>
      </c>
      <c r="BX27" s="166">
        <v>22197</v>
      </c>
      <c r="BY27" s="166">
        <f t="shared" ref="BY27:BY33" si="88">BZ27+CA27</f>
        <v>208485</v>
      </c>
      <c r="BZ27" s="166">
        <v>184607</v>
      </c>
      <c r="CA27" s="166">
        <v>23878</v>
      </c>
      <c r="CB27" s="166">
        <v>216777</v>
      </c>
      <c r="CC27" s="166">
        <v>190215</v>
      </c>
      <c r="CD27" s="166">
        <v>26562</v>
      </c>
      <c r="CE27" s="166">
        <f t="shared" ref="CE27:CE33" si="89">CF27+CG27</f>
        <v>218063</v>
      </c>
      <c r="CF27" s="166">
        <v>192904</v>
      </c>
      <c r="CG27" s="166">
        <v>25159</v>
      </c>
      <c r="CH27" s="166">
        <f t="shared" ref="CH27:CH33" si="90">CI27+CJ27</f>
        <v>218709</v>
      </c>
      <c r="CI27" s="166">
        <v>190890</v>
      </c>
      <c r="CJ27" s="166">
        <v>27819</v>
      </c>
      <c r="CK27" s="166">
        <f t="shared" ref="CK27:CK33" si="91">CL27+CM27</f>
        <v>213270</v>
      </c>
      <c r="CL27" s="166">
        <v>186773</v>
      </c>
      <c r="CM27" s="166">
        <v>26497</v>
      </c>
      <c r="CN27" s="166">
        <f t="shared" ref="CN27:CN33" si="92">CO27+CP27</f>
        <v>211881</v>
      </c>
      <c r="CO27" s="166">
        <v>183568</v>
      </c>
      <c r="CP27" s="166">
        <v>28313</v>
      </c>
      <c r="CQ27" s="166">
        <f t="shared" ref="CQ27:CQ33" si="93">CR27+CS27</f>
        <v>211613</v>
      </c>
      <c r="CR27" s="166">
        <v>181662</v>
      </c>
      <c r="CS27" s="166">
        <v>29951</v>
      </c>
      <c r="CT27" s="166">
        <f t="shared" ref="CT27:CT33" si="94">CU27+CV27</f>
        <v>211702</v>
      </c>
      <c r="CU27" s="166">
        <v>174063</v>
      </c>
      <c r="CV27" s="166">
        <v>37639</v>
      </c>
      <c r="CW27" s="166">
        <f t="shared" ref="CW27:CW33" si="95">CX27+CY27</f>
        <v>195927</v>
      </c>
      <c r="CX27" s="166">
        <v>166339</v>
      </c>
      <c r="CY27" s="166">
        <v>29588</v>
      </c>
      <c r="CZ27" s="166">
        <f t="shared" ref="CZ27:CZ33" si="96">DA27+DB27</f>
        <v>203636</v>
      </c>
      <c r="DA27" s="166">
        <v>165167</v>
      </c>
      <c r="DB27" s="166">
        <v>38469</v>
      </c>
      <c r="DC27" s="166">
        <f t="shared" ref="DC27:DC33" si="97">DD27+DE27</f>
        <v>195759</v>
      </c>
      <c r="DD27" s="166">
        <v>168023</v>
      </c>
      <c r="DE27" s="166">
        <v>27736</v>
      </c>
      <c r="DF27" s="166">
        <f t="shared" ref="DF27:DF33" si="98">DG27+DH27</f>
        <v>189191</v>
      </c>
      <c r="DG27" s="166">
        <v>164522</v>
      </c>
      <c r="DH27" s="166">
        <v>24669</v>
      </c>
      <c r="DI27" s="166">
        <f t="shared" ref="DI27:DI33" si="99">DJ27+DK27</f>
        <v>179435.69700000001</v>
      </c>
      <c r="DJ27" s="166">
        <v>164100.06400000001</v>
      </c>
      <c r="DK27" s="166">
        <v>15335.633</v>
      </c>
      <c r="DL27" s="166">
        <v>239937</v>
      </c>
      <c r="DM27" s="166">
        <v>215902.91399999999</v>
      </c>
      <c r="DN27" s="166">
        <v>24034.37</v>
      </c>
      <c r="DO27" s="166">
        <f t="shared" ref="DO27:DO41" si="100">DP27+DQ27</f>
        <v>234213.03</v>
      </c>
      <c r="DP27" s="166">
        <v>216229.997</v>
      </c>
      <c r="DQ27" s="166">
        <v>17983.032999999999</v>
      </c>
      <c r="DR27" s="166">
        <f t="shared" si="63"/>
        <v>235432</v>
      </c>
      <c r="DS27" s="166">
        <v>215982</v>
      </c>
      <c r="DT27" s="166">
        <v>19450</v>
      </c>
      <c r="DU27" s="166">
        <f t="shared" si="64"/>
        <v>260120</v>
      </c>
      <c r="DV27" s="166">
        <v>243774</v>
      </c>
      <c r="DW27" s="166">
        <v>16346</v>
      </c>
      <c r="DX27" s="166">
        <v>259576.70699999999</v>
      </c>
      <c r="DY27" s="166">
        <v>247051.50399999999</v>
      </c>
      <c r="DZ27" s="166">
        <v>12525.203</v>
      </c>
      <c r="EA27" s="374">
        <v>265277</v>
      </c>
      <c r="EB27" s="374">
        <v>252251</v>
      </c>
      <c r="EC27" s="374">
        <v>13026</v>
      </c>
    </row>
    <row r="28" spans="1:133" s="164" customFormat="1" ht="15" customHeight="1" x14ac:dyDescent="0.2">
      <c r="A28" s="441" t="s">
        <v>611</v>
      </c>
      <c r="B28" s="165">
        <f t="shared" si="67"/>
        <v>50901</v>
      </c>
      <c r="C28" s="165">
        <v>47052</v>
      </c>
      <c r="D28" s="165">
        <v>3849</v>
      </c>
      <c r="E28" s="165">
        <f t="shared" si="68"/>
        <v>53756</v>
      </c>
      <c r="F28" s="165">
        <v>51575</v>
      </c>
      <c r="G28" s="165">
        <v>2181</v>
      </c>
      <c r="H28" s="166">
        <f t="shared" si="69"/>
        <v>68621</v>
      </c>
      <c r="I28" s="166">
        <v>67258</v>
      </c>
      <c r="J28" s="166">
        <v>1363</v>
      </c>
      <c r="K28" s="166">
        <f>L28+M28</f>
        <v>73634</v>
      </c>
      <c r="L28" s="166">
        <v>70812</v>
      </c>
      <c r="M28" s="166">
        <v>2822</v>
      </c>
      <c r="N28" s="166">
        <f>O28+P28</f>
        <v>69540</v>
      </c>
      <c r="O28" s="166">
        <v>68788</v>
      </c>
      <c r="P28" s="166">
        <v>752</v>
      </c>
      <c r="Q28" s="166">
        <f>R28+S28</f>
        <v>98278</v>
      </c>
      <c r="R28" s="166">
        <v>97363</v>
      </c>
      <c r="S28" s="166">
        <v>915</v>
      </c>
      <c r="T28" s="166">
        <f>U28+V28</f>
        <v>87464</v>
      </c>
      <c r="U28" s="166">
        <v>86434</v>
      </c>
      <c r="V28" s="166">
        <v>1030</v>
      </c>
      <c r="W28" s="166">
        <f t="shared" si="70"/>
        <v>79977</v>
      </c>
      <c r="X28" s="166">
        <v>79923</v>
      </c>
      <c r="Y28" s="166">
        <v>54</v>
      </c>
      <c r="Z28" s="166">
        <f t="shared" si="71"/>
        <v>91659</v>
      </c>
      <c r="AA28" s="166">
        <v>91650</v>
      </c>
      <c r="AB28" s="166">
        <v>9</v>
      </c>
      <c r="AC28" s="166">
        <f t="shared" si="72"/>
        <v>99710</v>
      </c>
      <c r="AD28" s="166">
        <v>99514</v>
      </c>
      <c r="AE28" s="166">
        <v>196</v>
      </c>
      <c r="AF28" s="166">
        <f t="shared" si="73"/>
        <v>102603</v>
      </c>
      <c r="AG28" s="166">
        <v>102479</v>
      </c>
      <c r="AH28" s="166">
        <v>124</v>
      </c>
      <c r="AI28" s="166">
        <f t="shared" si="74"/>
        <v>113273</v>
      </c>
      <c r="AJ28" s="166">
        <v>112837</v>
      </c>
      <c r="AK28" s="166">
        <v>436</v>
      </c>
      <c r="AL28" s="166">
        <f t="shared" si="75"/>
        <v>128172</v>
      </c>
      <c r="AM28" s="166">
        <v>127315</v>
      </c>
      <c r="AN28" s="166">
        <v>857</v>
      </c>
      <c r="AO28" s="166">
        <f t="shared" si="76"/>
        <v>131133</v>
      </c>
      <c r="AP28" s="166">
        <v>130481</v>
      </c>
      <c r="AQ28" s="166">
        <v>652</v>
      </c>
      <c r="AR28" s="166">
        <f t="shared" si="77"/>
        <v>157009</v>
      </c>
      <c r="AS28" s="166">
        <v>154389</v>
      </c>
      <c r="AT28" s="166">
        <v>2620</v>
      </c>
      <c r="AU28" s="166">
        <f t="shared" si="78"/>
        <v>171497</v>
      </c>
      <c r="AV28" s="166">
        <v>167424</v>
      </c>
      <c r="AW28" s="166">
        <v>4073</v>
      </c>
      <c r="AX28" s="166">
        <f t="shared" si="79"/>
        <v>178989</v>
      </c>
      <c r="AY28" s="166">
        <v>174385</v>
      </c>
      <c r="AZ28" s="166">
        <v>4604</v>
      </c>
      <c r="BA28" s="166">
        <f t="shared" si="80"/>
        <v>164204</v>
      </c>
      <c r="BB28" s="166">
        <v>161098</v>
      </c>
      <c r="BC28" s="166">
        <v>3106</v>
      </c>
      <c r="BD28" s="166">
        <f t="shared" si="81"/>
        <v>171458</v>
      </c>
      <c r="BE28" s="166">
        <v>167626</v>
      </c>
      <c r="BF28" s="166">
        <v>3832</v>
      </c>
      <c r="BG28" s="166">
        <f t="shared" si="82"/>
        <v>197448</v>
      </c>
      <c r="BH28" s="166">
        <v>194135</v>
      </c>
      <c r="BI28" s="166">
        <v>3313</v>
      </c>
      <c r="BJ28" s="166">
        <f t="shared" si="83"/>
        <v>213930</v>
      </c>
      <c r="BK28" s="166">
        <v>211993</v>
      </c>
      <c r="BL28" s="166">
        <v>1937</v>
      </c>
      <c r="BM28" s="166">
        <f t="shared" si="84"/>
        <v>225974</v>
      </c>
      <c r="BN28" s="166">
        <v>224798</v>
      </c>
      <c r="BO28" s="166">
        <v>1176</v>
      </c>
      <c r="BP28" s="166">
        <f t="shared" si="85"/>
        <v>245538</v>
      </c>
      <c r="BQ28" s="166">
        <v>240062</v>
      </c>
      <c r="BR28" s="166">
        <v>5476</v>
      </c>
      <c r="BS28" s="166">
        <f t="shared" si="86"/>
        <v>255591</v>
      </c>
      <c r="BT28" s="166">
        <v>251665</v>
      </c>
      <c r="BU28" s="166">
        <v>3926</v>
      </c>
      <c r="BV28" s="166">
        <f t="shared" si="87"/>
        <v>281045</v>
      </c>
      <c r="BW28" s="166">
        <v>275097</v>
      </c>
      <c r="BX28" s="166">
        <v>5948</v>
      </c>
      <c r="BY28" s="166">
        <f t="shared" si="88"/>
        <v>266826</v>
      </c>
      <c r="BZ28" s="166">
        <v>262431</v>
      </c>
      <c r="CA28" s="166">
        <v>4395</v>
      </c>
      <c r="CB28" s="166">
        <v>258580</v>
      </c>
      <c r="CC28" s="166">
        <v>256375</v>
      </c>
      <c r="CD28" s="166">
        <v>2205</v>
      </c>
      <c r="CE28" s="166">
        <f t="shared" si="89"/>
        <v>256279</v>
      </c>
      <c r="CF28" s="166">
        <v>254013</v>
      </c>
      <c r="CG28" s="166">
        <v>2266</v>
      </c>
      <c r="CH28" s="166">
        <f t="shared" si="90"/>
        <v>250716</v>
      </c>
      <c r="CI28" s="166">
        <v>249827</v>
      </c>
      <c r="CJ28" s="166">
        <v>889</v>
      </c>
      <c r="CK28" s="166">
        <f t="shared" si="91"/>
        <v>255611</v>
      </c>
      <c r="CL28" s="166">
        <v>252938</v>
      </c>
      <c r="CM28" s="166">
        <v>2673</v>
      </c>
      <c r="CN28" s="166">
        <f t="shared" si="92"/>
        <v>297814</v>
      </c>
      <c r="CO28" s="166">
        <v>293051</v>
      </c>
      <c r="CP28" s="166">
        <v>4763</v>
      </c>
      <c r="CQ28" s="166">
        <f t="shared" si="93"/>
        <v>320194</v>
      </c>
      <c r="CR28" s="166">
        <v>313235</v>
      </c>
      <c r="CS28" s="166">
        <v>6959</v>
      </c>
      <c r="CT28" s="166">
        <f t="shared" si="94"/>
        <v>303740</v>
      </c>
      <c r="CU28" s="166">
        <v>296009</v>
      </c>
      <c r="CV28" s="166">
        <v>7731</v>
      </c>
      <c r="CW28" s="166">
        <f t="shared" si="95"/>
        <v>293731</v>
      </c>
      <c r="CX28" s="166">
        <v>287197</v>
      </c>
      <c r="CY28" s="166">
        <v>6534</v>
      </c>
      <c r="CZ28" s="166">
        <f t="shared" si="96"/>
        <v>257847</v>
      </c>
      <c r="DA28" s="166">
        <v>251270</v>
      </c>
      <c r="DB28" s="166">
        <v>6577</v>
      </c>
      <c r="DC28" s="166">
        <f t="shared" si="97"/>
        <v>279726</v>
      </c>
      <c r="DD28" s="166">
        <v>275584</v>
      </c>
      <c r="DE28" s="166">
        <v>4142</v>
      </c>
      <c r="DF28" s="166">
        <f t="shared" si="98"/>
        <v>297350</v>
      </c>
      <c r="DG28" s="166">
        <v>293842</v>
      </c>
      <c r="DH28" s="166">
        <v>3508</v>
      </c>
      <c r="DI28" s="166">
        <f t="shared" si="99"/>
        <v>287117.40899999999</v>
      </c>
      <c r="DJ28" s="166">
        <v>277006.24400000001</v>
      </c>
      <c r="DK28" s="166">
        <v>10111.165000000001</v>
      </c>
      <c r="DL28" s="166">
        <v>320556</v>
      </c>
      <c r="DM28" s="166">
        <v>311985.92599999998</v>
      </c>
      <c r="DN28" s="166">
        <v>8570.0920000000006</v>
      </c>
      <c r="DO28" s="166">
        <f t="shared" si="100"/>
        <v>349070.12300000002</v>
      </c>
      <c r="DP28" s="166">
        <v>341817.239</v>
      </c>
      <c r="DQ28" s="166">
        <v>7252.884</v>
      </c>
      <c r="DR28" s="166">
        <f t="shared" si="63"/>
        <v>351263</v>
      </c>
      <c r="DS28" s="166">
        <v>343194</v>
      </c>
      <c r="DT28" s="166">
        <v>8069</v>
      </c>
      <c r="DU28" s="166">
        <f t="shared" si="64"/>
        <v>316026</v>
      </c>
      <c r="DV28" s="166">
        <v>309802</v>
      </c>
      <c r="DW28" s="166">
        <v>6224</v>
      </c>
      <c r="DX28" s="166">
        <v>334060.10499999998</v>
      </c>
      <c r="DY28" s="166">
        <v>325122.72399999999</v>
      </c>
      <c r="DZ28" s="166">
        <v>8937.3809999999994</v>
      </c>
      <c r="EA28" s="374">
        <v>313562</v>
      </c>
      <c r="EB28" s="374">
        <v>305213</v>
      </c>
      <c r="EC28" s="374">
        <v>8349</v>
      </c>
    </row>
    <row r="29" spans="1:133" s="164" customFormat="1" ht="15" customHeight="1" x14ac:dyDescent="0.2">
      <c r="A29" s="441" t="s">
        <v>612</v>
      </c>
      <c r="B29" s="165">
        <f t="shared" si="67"/>
        <v>5879</v>
      </c>
      <c r="C29" s="165">
        <v>3276</v>
      </c>
      <c r="D29" s="165">
        <v>2603</v>
      </c>
      <c r="E29" s="165">
        <f t="shared" si="68"/>
        <v>6645</v>
      </c>
      <c r="F29" s="165">
        <v>3229</v>
      </c>
      <c r="G29" s="165">
        <v>3416</v>
      </c>
      <c r="H29" s="166">
        <f t="shared" si="69"/>
        <v>6597</v>
      </c>
      <c r="I29" s="166">
        <v>3327</v>
      </c>
      <c r="J29" s="166">
        <v>3270</v>
      </c>
      <c r="K29" s="166">
        <v>6488</v>
      </c>
      <c r="L29" s="166">
        <v>3342</v>
      </c>
      <c r="M29" s="166">
        <v>3146</v>
      </c>
      <c r="N29" s="166">
        <v>7222</v>
      </c>
      <c r="O29" s="166">
        <v>3436</v>
      </c>
      <c r="P29" s="166">
        <v>3786</v>
      </c>
      <c r="Q29" s="166">
        <v>5455</v>
      </c>
      <c r="R29" s="166">
        <v>2524</v>
      </c>
      <c r="S29" s="166">
        <v>2931</v>
      </c>
      <c r="T29" s="166">
        <v>6535</v>
      </c>
      <c r="U29" s="166">
        <v>2929</v>
      </c>
      <c r="V29" s="166">
        <v>3606</v>
      </c>
      <c r="W29" s="166">
        <f t="shared" si="70"/>
        <v>9011</v>
      </c>
      <c r="X29" s="166">
        <v>3761</v>
      </c>
      <c r="Y29" s="166">
        <v>5250</v>
      </c>
      <c r="Z29" s="166">
        <f t="shared" si="71"/>
        <v>9280</v>
      </c>
      <c r="AA29" s="166">
        <v>3783</v>
      </c>
      <c r="AB29" s="166">
        <v>5497</v>
      </c>
      <c r="AC29" s="166">
        <f t="shared" si="72"/>
        <v>7694</v>
      </c>
      <c r="AD29" s="166">
        <v>3135</v>
      </c>
      <c r="AE29" s="166">
        <v>4559</v>
      </c>
      <c r="AF29" s="166">
        <f t="shared" si="73"/>
        <v>7111</v>
      </c>
      <c r="AG29" s="166">
        <v>2987</v>
      </c>
      <c r="AH29" s="166">
        <v>4124</v>
      </c>
      <c r="AI29" s="166">
        <f t="shared" si="74"/>
        <v>7482</v>
      </c>
      <c r="AJ29" s="166">
        <v>3170</v>
      </c>
      <c r="AK29" s="166">
        <v>4312</v>
      </c>
      <c r="AL29" s="166">
        <f t="shared" si="75"/>
        <v>8550</v>
      </c>
      <c r="AM29" s="166">
        <v>3216</v>
      </c>
      <c r="AN29" s="166">
        <v>5334</v>
      </c>
      <c r="AO29" s="166">
        <f t="shared" si="76"/>
        <v>12729</v>
      </c>
      <c r="AP29" s="166">
        <v>6977</v>
      </c>
      <c r="AQ29" s="166">
        <v>5752</v>
      </c>
      <c r="AR29" s="166">
        <f t="shared" si="77"/>
        <v>13750</v>
      </c>
      <c r="AS29" s="166">
        <v>8176</v>
      </c>
      <c r="AT29" s="166">
        <v>5574</v>
      </c>
      <c r="AU29" s="166">
        <f t="shared" si="78"/>
        <v>17674</v>
      </c>
      <c r="AV29" s="166">
        <v>12317</v>
      </c>
      <c r="AW29" s="166">
        <v>5357</v>
      </c>
      <c r="AX29" s="166">
        <f t="shared" si="79"/>
        <v>21701</v>
      </c>
      <c r="AY29" s="166">
        <v>16592</v>
      </c>
      <c r="AZ29" s="166">
        <v>5109</v>
      </c>
      <c r="BA29" s="166">
        <f t="shared" si="80"/>
        <v>29044</v>
      </c>
      <c r="BB29" s="166">
        <v>22106</v>
      </c>
      <c r="BC29" s="166">
        <v>6938</v>
      </c>
      <c r="BD29" s="166">
        <f t="shared" si="81"/>
        <v>32879</v>
      </c>
      <c r="BE29" s="166">
        <v>24727</v>
      </c>
      <c r="BF29" s="166">
        <v>8152</v>
      </c>
      <c r="BG29" s="166">
        <f t="shared" si="82"/>
        <v>41522</v>
      </c>
      <c r="BH29" s="166">
        <v>33112</v>
      </c>
      <c r="BI29" s="166">
        <v>8410</v>
      </c>
      <c r="BJ29" s="166">
        <f t="shared" si="83"/>
        <v>48482</v>
      </c>
      <c r="BK29" s="166">
        <v>39001</v>
      </c>
      <c r="BL29" s="166">
        <v>9481</v>
      </c>
      <c r="BM29" s="166">
        <f t="shared" si="84"/>
        <v>51158</v>
      </c>
      <c r="BN29" s="166">
        <v>38774</v>
      </c>
      <c r="BO29" s="166">
        <v>12384</v>
      </c>
      <c r="BP29" s="166">
        <f t="shared" si="85"/>
        <v>53810</v>
      </c>
      <c r="BQ29" s="166">
        <v>39813</v>
      </c>
      <c r="BR29" s="166">
        <v>13997</v>
      </c>
      <c r="BS29" s="166">
        <f t="shared" si="86"/>
        <v>51359</v>
      </c>
      <c r="BT29" s="166">
        <v>37171</v>
      </c>
      <c r="BU29" s="166">
        <v>14188</v>
      </c>
      <c r="BV29" s="166">
        <f t="shared" si="87"/>
        <v>47832</v>
      </c>
      <c r="BW29" s="166">
        <v>34612</v>
      </c>
      <c r="BX29" s="166">
        <v>13220</v>
      </c>
      <c r="BY29" s="166">
        <f t="shared" si="88"/>
        <v>53821</v>
      </c>
      <c r="BZ29" s="166">
        <v>41700</v>
      </c>
      <c r="CA29" s="166">
        <v>12121</v>
      </c>
      <c r="CB29" s="166">
        <v>55427</v>
      </c>
      <c r="CC29" s="166">
        <v>43952</v>
      </c>
      <c r="CD29" s="166">
        <v>11475</v>
      </c>
      <c r="CE29" s="166">
        <f t="shared" si="89"/>
        <v>57654</v>
      </c>
      <c r="CF29" s="166">
        <v>46179</v>
      </c>
      <c r="CG29" s="166">
        <v>11475</v>
      </c>
      <c r="CH29" s="166">
        <f t="shared" si="90"/>
        <v>64511</v>
      </c>
      <c r="CI29" s="166">
        <v>54116</v>
      </c>
      <c r="CJ29" s="166">
        <v>10395</v>
      </c>
      <c r="CK29" s="166">
        <f t="shared" si="91"/>
        <v>69877</v>
      </c>
      <c r="CL29" s="166">
        <v>61809</v>
      </c>
      <c r="CM29" s="166">
        <v>8068</v>
      </c>
      <c r="CN29" s="166">
        <f t="shared" si="92"/>
        <v>75283</v>
      </c>
      <c r="CO29" s="166">
        <v>66754</v>
      </c>
      <c r="CP29" s="166">
        <v>8529</v>
      </c>
      <c r="CQ29" s="166">
        <f t="shared" si="93"/>
        <v>84825</v>
      </c>
      <c r="CR29" s="166">
        <v>76059</v>
      </c>
      <c r="CS29" s="166">
        <v>8766</v>
      </c>
      <c r="CT29" s="166">
        <f t="shared" si="94"/>
        <v>88247</v>
      </c>
      <c r="CU29" s="166">
        <v>80171</v>
      </c>
      <c r="CV29" s="166">
        <v>8076</v>
      </c>
      <c r="CW29" s="166">
        <f t="shared" si="95"/>
        <v>95387</v>
      </c>
      <c r="CX29" s="166">
        <v>87288</v>
      </c>
      <c r="CY29" s="166">
        <v>8099</v>
      </c>
      <c r="CZ29" s="166">
        <f t="shared" si="96"/>
        <v>110987</v>
      </c>
      <c r="DA29" s="166">
        <v>101302</v>
      </c>
      <c r="DB29" s="166">
        <v>9685</v>
      </c>
      <c r="DC29" s="166">
        <f t="shared" si="97"/>
        <v>109546</v>
      </c>
      <c r="DD29" s="166">
        <v>100069</v>
      </c>
      <c r="DE29" s="166">
        <v>9477</v>
      </c>
      <c r="DF29" s="166">
        <f t="shared" si="98"/>
        <v>112617</v>
      </c>
      <c r="DG29" s="166">
        <v>103696</v>
      </c>
      <c r="DH29" s="166">
        <v>8921</v>
      </c>
      <c r="DI29" s="166">
        <f t="shared" si="99"/>
        <v>112816.519</v>
      </c>
      <c r="DJ29" s="166">
        <v>106519</v>
      </c>
      <c r="DK29" s="166">
        <v>6297.5190000000002</v>
      </c>
      <c r="DL29" s="166">
        <v>153976</v>
      </c>
      <c r="DM29" s="166">
        <v>147789.05300000001</v>
      </c>
      <c r="DN29" s="166">
        <v>6186.8670000000002</v>
      </c>
      <c r="DO29" s="166">
        <f t="shared" si="100"/>
        <v>150807.35799999998</v>
      </c>
      <c r="DP29" s="166">
        <v>144992.24</v>
      </c>
      <c r="DQ29" s="166">
        <v>5815.1180000000004</v>
      </c>
      <c r="DR29" s="166">
        <f t="shared" si="63"/>
        <v>142751</v>
      </c>
      <c r="DS29" s="166">
        <v>139784</v>
      </c>
      <c r="DT29" s="166">
        <v>2967</v>
      </c>
      <c r="DU29" s="166">
        <f t="shared" si="64"/>
        <v>131510</v>
      </c>
      <c r="DV29" s="166">
        <v>128529</v>
      </c>
      <c r="DW29" s="166">
        <v>2981</v>
      </c>
      <c r="DX29" s="166">
        <v>135838.71</v>
      </c>
      <c r="DY29" s="166">
        <v>132964.704</v>
      </c>
      <c r="DZ29" s="166">
        <v>2874.0059999999999</v>
      </c>
      <c r="EA29" s="374">
        <v>135011</v>
      </c>
      <c r="EB29" s="374">
        <v>131933</v>
      </c>
      <c r="EC29" s="374">
        <v>3078</v>
      </c>
    </row>
    <row r="30" spans="1:133" s="164" customFormat="1" ht="15" customHeight="1" x14ac:dyDescent="0.2">
      <c r="A30" s="441" t="s">
        <v>605</v>
      </c>
      <c r="B30" s="165">
        <f t="shared" si="67"/>
        <v>1950</v>
      </c>
      <c r="C30" s="165">
        <v>781</v>
      </c>
      <c r="D30" s="165">
        <v>1169</v>
      </c>
      <c r="E30" s="165">
        <f t="shared" si="68"/>
        <v>1926</v>
      </c>
      <c r="F30" s="165">
        <v>681</v>
      </c>
      <c r="G30" s="165">
        <v>1245</v>
      </c>
      <c r="H30" s="166">
        <f t="shared" si="69"/>
        <v>1764</v>
      </c>
      <c r="I30" s="166">
        <v>744</v>
      </c>
      <c r="J30" s="166">
        <v>1020</v>
      </c>
      <c r="K30" s="166">
        <f>L30+M30</f>
        <v>2538</v>
      </c>
      <c r="L30" s="166">
        <v>1284</v>
      </c>
      <c r="M30" s="166">
        <v>1254</v>
      </c>
      <c r="N30" s="166">
        <v>2160</v>
      </c>
      <c r="O30" s="166">
        <v>945</v>
      </c>
      <c r="P30" s="166">
        <v>1215</v>
      </c>
      <c r="Q30" s="166">
        <f>R30+S30</f>
        <v>2458</v>
      </c>
      <c r="R30" s="166">
        <v>1064</v>
      </c>
      <c r="S30" s="166">
        <v>1394</v>
      </c>
      <c r="T30" s="166">
        <f>U30+V30</f>
        <v>2538</v>
      </c>
      <c r="U30" s="166">
        <v>849</v>
      </c>
      <c r="V30" s="166">
        <v>1689</v>
      </c>
      <c r="W30" s="166">
        <f t="shared" si="70"/>
        <v>2914</v>
      </c>
      <c r="X30" s="166">
        <v>1550</v>
      </c>
      <c r="Y30" s="166">
        <v>1364</v>
      </c>
      <c r="Z30" s="166">
        <f t="shared" si="71"/>
        <v>2287</v>
      </c>
      <c r="AA30" s="166">
        <v>747</v>
      </c>
      <c r="AB30" s="166">
        <v>1540</v>
      </c>
      <c r="AC30" s="166">
        <f t="shared" si="72"/>
        <v>1904</v>
      </c>
      <c r="AD30" s="166">
        <v>847</v>
      </c>
      <c r="AE30" s="166">
        <v>1057</v>
      </c>
      <c r="AF30" s="166">
        <f t="shared" si="73"/>
        <v>2257</v>
      </c>
      <c r="AG30" s="166">
        <v>857</v>
      </c>
      <c r="AH30" s="166">
        <v>1400</v>
      </c>
      <c r="AI30" s="166">
        <f t="shared" si="74"/>
        <v>2950</v>
      </c>
      <c r="AJ30" s="166">
        <v>1749</v>
      </c>
      <c r="AK30" s="166">
        <v>1201</v>
      </c>
      <c r="AL30" s="166">
        <f t="shared" si="75"/>
        <v>2063</v>
      </c>
      <c r="AM30" s="166">
        <v>989</v>
      </c>
      <c r="AN30" s="166">
        <v>1074</v>
      </c>
      <c r="AO30" s="166">
        <f t="shared" si="76"/>
        <v>2778</v>
      </c>
      <c r="AP30" s="166">
        <v>1376</v>
      </c>
      <c r="AQ30" s="166">
        <v>1402</v>
      </c>
      <c r="AR30" s="166">
        <f t="shared" si="77"/>
        <v>2452</v>
      </c>
      <c r="AS30" s="166">
        <v>1021</v>
      </c>
      <c r="AT30" s="166">
        <v>1431</v>
      </c>
      <c r="AU30" s="166">
        <f t="shared" si="78"/>
        <v>3790</v>
      </c>
      <c r="AV30" s="166">
        <v>2199</v>
      </c>
      <c r="AW30" s="166">
        <v>1591</v>
      </c>
      <c r="AX30" s="166">
        <f t="shared" si="79"/>
        <v>2647</v>
      </c>
      <c r="AY30" s="166">
        <v>1040</v>
      </c>
      <c r="AZ30" s="166">
        <v>1607</v>
      </c>
      <c r="BA30" s="166">
        <f t="shared" si="80"/>
        <v>3037</v>
      </c>
      <c r="BB30" s="166">
        <v>1228</v>
      </c>
      <c r="BC30" s="166">
        <v>1809</v>
      </c>
      <c r="BD30" s="166">
        <f t="shared" si="81"/>
        <v>2974</v>
      </c>
      <c r="BE30" s="166">
        <v>1326</v>
      </c>
      <c r="BF30" s="166">
        <v>1648</v>
      </c>
      <c r="BG30" s="166">
        <f t="shared" si="82"/>
        <v>4614</v>
      </c>
      <c r="BH30" s="166">
        <v>3007</v>
      </c>
      <c r="BI30" s="166">
        <v>1607</v>
      </c>
      <c r="BJ30" s="166">
        <f t="shared" si="83"/>
        <v>3230</v>
      </c>
      <c r="BK30" s="166">
        <v>1800</v>
      </c>
      <c r="BL30" s="166">
        <v>1430</v>
      </c>
      <c r="BM30" s="166">
        <f t="shared" si="84"/>
        <v>3619</v>
      </c>
      <c r="BN30" s="166">
        <v>1838</v>
      </c>
      <c r="BO30" s="166">
        <v>1781</v>
      </c>
      <c r="BP30" s="166">
        <f t="shared" si="85"/>
        <v>3649</v>
      </c>
      <c r="BQ30" s="166">
        <v>1994</v>
      </c>
      <c r="BR30" s="166">
        <v>1655</v>
      </c>
      <c r="BS30" s="166">
        <f t="shared" si="86"/>
        <v>5668</v>
      </c>
      <c r="BT30" s="166">
        <v>4074</v>
      </c>
      <c r="BU30" s="166">
        <v>1594</v>
      </c>
      <c r="BV30" s="166">
        <f t="shared" si="87"/>
        <v>3814</v>
      </c>
      <c r="BW30" s="166">
        <v>2177</v>
      </c>
      <c r="BX30" s="166">
        <v>1637</v>
      </c>
      <c r="BY30" s="166">
        <f t="shared" si="88"/>
        <v>3792</v>
      </c>
      <c r="BZ30" s="166">
        <v>2088</v>
      </c>
      <c r="CA30" s="166">
        <v>1704</v>
      </c>
      <c r="CB30" s="166">
        <v>4805</v>
      </c>
      <c r="CC30" s="166">
        <v>2971</v>
      </c>
      <c r="CD30" s="166">
        <v>1834</v>
      </c>
      <c r="CE30" s="166">
        <f t="shared" si="89"/>
        <v>6863</v>
      </c>
      <c r="CF30" s="166">
        <v>4992</v>
      </c>
      <c r="CG30" s="166">
        <v>1871</v>
      </c>
      <c r="CH30" s="166">
        <f t="shared" si="90"/>
        <v>5344</v>
      </c>
      <c r="CI30" s="166">
        <v>2987</v>
      </c>
      <c r="CJ30" s="166">
        <v>2357</v>
      </c>
      <c r="CK30" s="166">
        <f t="shared" si="91"/>
        <v>5673</v>
      </c>
      <c r="CL30" s="166">
        <v>3391</v>
      </c>
      <c r="CM30" s="166">
        <v>2282</v>
      </c>
      <c r="CN30" s="166">
        <f t="shared" si="92"/>
        <v>4541</v>
      </c>
      <c r="CO30" s="166">
        <v>2324</v>
      </c>
      <c r="CP30" s="166">
        <v>2217</v>
      </c>
      <c r="CQ30" s="166">
        <f t="shared" si="93"/>
        <v>5957</v>
      </c>
      <c r="CR30" s="166">
        <v>4200</v>
      </c>
      <c r="CS30" s="166">
        <v>1757</v>
      </c>
      <c r="CT30" s="166">
        <f t="shared" si="94"/>
        <v>4247</v>
      </c>
      <c r="CU30" s="166">
        <v>2277</v>
      </c>
      <c r="CV30" s="166">
        <v>1970</v>
      </c>
      <c r="CW30" s="166">
        <f t="shared" si="95"/>
        <v>4578</v>
      </c>
      <c r="CX30" s="166">
        <v>2318</v>
      </c>
      <c r="CY30" s="166">
        <v>2260</v>
      </c>
      <c r="CZ30" s="166">
        <f t="shared" si="96"/>
        <v>5464</v>
      </c>
      <c r="DA30" s="166">
        <v>2267</v>
      </c>
      <c r="DB30" s="166">
        <v>3197</v>
      </c>
      <c r="DC30" s="166">
        <f t="shared" si="97"/>
        <v>6385</v>
      </c>
      <c r="DD30" s="166">
        <v>3882</v>
      </c>
      <c r="DE30" s="166">
        <v>2503</v>
      </c>
      <c r="DF30" s="166">
        <f t="shared" si="98"/>
        <v>5181</v>
      </c>
      <c r="DG30" s="166">
        <v>2159</v>
      </c>
      <c r="DH30" s="166">
        <v>3022</v>
      </c>
      <c r="DI30" s="166">
        <f t="shared" si="99"/>
        <v>4838.1479999999992</v>
      </c>
      <c r="DJ30" s="166">
        <v>2214.2649999999999</v>
      </c>
      <c r="DK30" s="166">
        <v>2623.8829999999998</v>
      </c>
      <c r="DL30" s="166">
        <v>5621</v>
      </c>
      <c r="DM30" s="166">
        <v>2462.0680000000002</v>
      </c>
      <c r="DN30" s="166">
        <v>3159.3389999999999</v>
      </c>
      <c r="DO30" s="166">
        <f t="shared" si="100"/>
        <v>7089.0029999999997</v>
      </c>
      <c r="DP30" s="166">
        <v>4050.9569999999999</v>
      </c>
      <c r="DQ30" s="166">
        <v>3038.0459999999998</v>
      </c>
      <c r="DR30" s="166">
        <f t="shared" si="63"/>
        <v>5755</v>
      </c>
      <c r="DS30" s="166">
        <v>2648</v>
      </c>
      <c r="DT30" s="166">
        <v>3107</v>
      </c>
      <c r="DU30" s="166">
        <f t="shared" si="64"/>
        <v>6251</v>
      </c>
      <c r="DV30" s="166">
        <v>2858</v>
      </c>
      <c r="DW30" s="166">
        <v>3393</v>
      </c>
      <c r="DX30" s="166">
        <v>25926.776999999998</v>
      </c>
      <c r="DY30" s="166">
        <v>22782.106</v>
      </c>
      <c r="DZ30" s="166">
        <v>3144.6709999999998</v>
      </c>
      <c r="EA30" s="374">
        <v>30034</v>
      </c>
      <c r="EB30" s="374">
        <v>27011</v>
      </c>
      <c r="EC30" s="374">
        <v>3023</v>
      </c>
    </row>
    <row r="31" spans="1:133" s="164" customFormat="1" ht="15" customHeight="1" x14ac:dyDescent="0.2">
      <c r="A31" s="441" t="s">
        <v>501</v>
      </c>
      <c r="B31" s="165">
        <f t="shared" si="67"/>
        <v>18635</v>
      </c>
      <c r="C31" s="165">
        <v>11323</v>
      </c>
      <c r="D31" s="165">
        <v>7312</v>
      </c>
      <c r="E31" s="165">
        <f t="shared" si="68"/>
        <v>19165</v>
      </c>
      <c r="F31" s="165">
        <v>12248</v>
      </c>
      <c r="G31" s="165">
        <v>6917</v>
      </c>
      <c r="H31" s="166">
        <f t="shared" si="69"/>
        <v>20735</v>
      </c>
      <c r="I31" s="166">
        <v>13092</v>
      </c>
      <c r="J31" s="166">
        <v>7643</v>
      </c>
      <c r="K31" s="166">
        <v>23410</v>
      </c>
      <c r="L31" s="166">
        <v>13789</v>
      </c>
      <c r="M31" s="166">
        <v>9621</v>
      </c>
      <c r="N31" s="166">
        <f>O31+P31</f>
        <v>24013</v>
      </c>
      <c r="O31" s="166">
        <v>14363</v>
      </c>
      <c r="P31" s="166">
        <v>9650</v>
      </c>
      <c r="Q31" s="166">
        <f>R31+S31</f>
        <v>24736</v>
      </c>
      <c r="R31" s="166">
        <v>15031</v>
      </c>
      <c r="S31" s="166">
        <v>9705</v>
      </c>
      <c r="T31" s="166">
        <v>31979</v>
      </c>
      <c r="U31" s="166">
        <v>14133</v>
      </c>
      <c r="V31" s="166">
        <v>17846</v>
      </c>
      <c r="W31" s="166">
        <f t="shared" si="70"/>
        <v>31947</v>
      </c>
      <c r="X31" s="166">
        <v>17355</v>
      </c>
      <c r="Y31" s="166">
        <v>14592</v>
      </c>
      <c r="Z31" s="166">
        <f t="shared" si="71"/>
        <v>30420</v>
      </c>
      <c r="AA31" s="166">
        <v>17339</v>
      </c>
      <c r="AB31" s="166">
        <v>13081</v>
      </c>
      <c r="AC31" s="166">
        <f t="shared" si="72"/>
        <v>29081</v>
      </c>
      <c r="AD31" s="166">
        <v>17697</v>
      </c>
      <c r="AE31" s="166">
        <v>11384</v>
      </c>
      <c r="AF31" s="166">
        <f t="shared" si="73"/>
        <v>27025</v>
      </c>
      <c r="AG31" s="166">
        <v>18533</v>
      </c>
      <c r="AH31" s="166">
        <v>8492</v>
      </c>
      <c r="AI31" s="166">
        <f t="shared" si="74"/>
        <v>27328</v>
      </c>
      <c r="AJ31" s="166">
        <v>19051</v>
      </c>
      <c r="AK31" s="166">
        <v>8277</v>
      </c>
      <c r="AL31" s="166">
        <f t="shared" si="75"/>
        <v>30208</v>
      </c>
      <c r="AM31" s="166">
        <v>20843</v>
      </c>
      <c r="AN31" s="166">
        <v>9365</v>
      </c>
      <c r="AO31" s="166">
        <f t="shared" si="76"/>
        <v>35033</v>
      </c>
      <c r="AP31" s="166">
        <v>24865</v>
      </c>
      <c r="AQ31" s="166">
        <v>10168</v>
      </c>
      <c r="AR31" s="166">
        <f t="shared" si="77"/>
        <v>37997</v>
      </c>
      <c r="AS31" s="166">
        <v>28091</v>
      </c>
      <c r="AT31" s="166">
        <v>9906</v>
      </c>
      <c r="AU31" s="166">
        <f t="shared" si="78"/>
        <v>38196</v>
      </c>
      <c r="AV31" s="166">
        <v>29880</v>
      </c>
      <c r="AW31" s="166">
        <v>8316</v>
      </c>
      <c r="AX31" s="166">
        <f t="shared" si="79"/>
        <v>41501</v>
      </c>
      <c r="AY31" s="166">
        <v>31472</v>
      </c>
      <c r="AZ31" s="166">
        <v>10029</v>
      </c>
      <c r="BA31" s="166">
        <f t="shared" si="80"/>
        <v>45208</v>
      </c>
      <c r="BB31" s="166">
        <v>33588</v>
      </c>
      <c r="BC31" s="166">
        <v>11620</v>
      </c>
      <c r="BD31" s="166">
        <f t="shared" si="81"/>
        <v>49058</v>
      </c>
      <c r="BE31" s="166">
        <v>35375</v>
      </c>
      <c r="BF31" s="166">
        <v>13683</v>
      </c>
      <c r="BG31" s="166">
        <f t="shared" si="82"/>
        <v>53247</v>
      </c>
      <c r="BH31" s="166">
        <v>35555</v>
      </c>
      <c r="BI31" s="166">
        <v>17692</v>
      </c>
      <c r="BJ31" s="166">
        <f t="shared" si="83"/>
        <v>47112</v>
      </c>
      <c r="BK31" s="166">
        <v>35383</v>
      </c>
      <c r="BL31" s="166">
        <v>11729</v>
      </c>
      <c r="BM31" s="166">
        <f t="shared" si="84"/>
        <v>47894</v>
      </c>
      <c r="BN31" s="166">
        <v>35109</v>
      </c>
      <c r="BO31" s="166">
        <v>12785</v>
      </c>
      <c r="BP31" s="166">
        <f t="shared" si="85"/>
        <v>45399</v>
      </c>
      <c r="BQ31" s="166">
        <v>34868</v>
      </c>
      <c r="BR31" s="166">
        <v>10531</v>
      </c>
      <c r="BS31" s="166">
        <f t="shared" si="86"/>
        <v>44186</v>
      </c>
      <c r="BT31" s="166">
        <v>35752</v>
      </c>
      <c r="BU31" s="166">
        <v>8434</v>
      </c>
      <c r="BV31" s="166">
        <f t="shared" si="87"/>
        <v>46210</v>
      </c>
      <c r="BW31" s="166">
        <v>37750</v>
      </c>
      <c r="BX31" s="166">
        <v>8460</v>
      </c>
      <c r="BY31" s="166">
        <f t="shared" si="88"/>
        <v>49121</v>
      </c>
      <c r="BZ31" s="166">
        <v>37651</v>
      </c>
      <c r="CA31" s="166">
        <v>11470</v>
      </c>
      <c r="CB31" s="166">
        <v>51307</v>
      </c>
      <c r="CC31" s="166">
        <v>38915</v>
      </c>
      <c r="CD31" s="166">
        <v>12392</v>
      </c>
      <c r="CE31" s="166">
        <f t="shared" si="89"/>
        <v>56095</v>
      </c>
      <c r="CF31" s="166">
        <v>40449</v>
      </c>
      <c r="CG31" s="166">
        <v>15646</v>
      </c>
      <c r="CH31" s="166">
        <f t="shared" si="90"/>
        <v>56724</v>
      </c>
      <c r="CI31" s="166">
        <v>40694</v>
      </c>
      <c r="CJ31" s="166">
        <v>16030</v>
      </c>
      <c r="CK31" s="166">
        <f t="shared" si="91"/>
        <v>54141</v>
      </c>
      <c r="CL31" s="166">
        <v>40034</v>
      </c>
      <c r="CM31" s="166">
        <v>14107</v>
      </c>
      <c r="CN31" s="166">
        <f t="shared" si="92"/>
        <v>56562</v>
      </c>
      <c r="CO31" s="166">
        <v>40971</v>
      </c>
      <c r="CP31" s="166">
        <v>15591</v>
      </c>
      <c r="CQ31" s="166">
        <f t="shared" si="93"/>
        <v>58998</v>
      </c>
      <c r="CR31" s="166">
        <v>41996</v>
      </c>
      <c r="CS31" s="166">
        <v>17002</v>
      </c>
      <c r="CT31" s="166">
        <f t="shared" si="94"/>
        <v>62369</v>
      </c>
      <c r="CU31" s="166">
        <v>40588</v>
      </c>
      <c r="CV31" s="166">
        <v>21781</v>
      </c>
      <c r="CW31" s="166">
        <f t="shared" si="95"/>
        <v>61369</v>
      </c>
      <c r="CX31" s="166">
        <v>38863</v>
      </c>
      <c r="CY31" s="166">
        <v>22506</v>
      </c>
      <c r="CZ31" s="166">
        <f t="shared" si="96"/>
        <v>69653</v>
      </c>
      <c r="DA31" s="166">
        <v>36953</v>
      </c>
      <c r="DB31" s="166">
        <v>32700</v>
      </c>
      <c r="DC31" s="166">
        <f t="shared" si="97"/>
        <v>70337</v>
      </c>
      <c r="DD31" s="166">
        <v>37717</v>
      </c>
      <c r="DE31" s="166">
        <v>32620</v>
      </c>
      <c r="DF31" s="166">
        <f t="shared" si="98"/>
        <v>62849</v>
      </c>
      <c r="DG31" s="166">
        <v>35262</v>
      </c>
      <c r="DH31" s="166">
        <v>27587</v>
      </c>
      <c r="DI31" s="166">
        <f t="shared" si="99"/>
        <v>57533.149000000005</v>
      </c>
      <c r="DJ31" s="166">
        <v>33379.711000000003</v>
      </c>
      <c r="DK31" s="166">
        <v>24153.437999999998</v>
      </c>
      <c r="DL31" s="166">
        <v>62805</v>
      </c>
      <c r="DM31" s="166">
        <v>36648.523999999998</v>
      </c>
      <c r="DN31" s="166">
        <v>26156.315999999999</v>
      </c>
      <c r="DO31" s="166">
        <f t="shared" si="100"/>
        <v>58196.001999999993</v>
      </c>
      <c r="DP31" s="166">
        <v>35650.720999999998</v>
      </c>
      <c r="DQ31" s="166">
        <v>22545.280999999999</v>
      </c>
      <c r="DR31" s="166">
        <f t="shared" si="63"/>
        <v>56417</v>
      </c>
      <c r="DS31" s="166">
        <v>33997</v>
      </c>
      <c r="DT31" s="166">
        <v>22420</v>
      </c>
      <c r="DU31" s="166">
        <f t="shared" si="64"/>
        <v>56548</v>
      </c>
      <c r="DV31" s="166">
        <v>32758</v>
      </c>
      <c r="DW31" s="166">
        <v>23790</v>
      </c>
      <c r="DX31" s="166">
        <v>54423.26</v>
      </c>
      <c r="DY31" s="166">
        <v>33483.802000000003</v>
      </c>
      <c r="DZ31" s="166">
        <v>20939.457999999999</v>
      </c>
      <c r="EA31" s="374">
        <v>51669</v>
      </c>
      <c r="EB31" s="374">
        <v>32811</v>
      </c>
      <c r="EC31" s="374">
        <v>18858</v>
      </c>
    </row>
    <row r="32" spans="1:133" s="164" customFormat="1" ht="15" customHeight="1" x14ac:dyDescent="0.2">
      <c r="A32" s="441" t="s">
        <v>613</v>
      </c>
      <c r="B32" s="165">
        <f t="shared" si="67"/>
        <v>856</v>
      </c>
      <c r="C32" s="165">
        <v>787</v>
      </c>
      <c r="D32" s="165">
        <v>69</v>
      </c>
      <c r="E32" s="165">
        <f t="shared" si="68"/>
        <v>2124</v>
      </c>
      <c r="F32" s="165">
        <v>2073</v>
      </c>
      <c r="G32" s="165">
        <v>51</v>
      </c>
      <c r="H32" s="166">
        <f t="shared" si="69"/>
        <v>2332</v>
      </c>
      <c r="I32" s="166">
        <v>2238</v>
      </c>
      <c r="J32" s="166">
        <v>94</v>
      </c>
      <c r="K32" s="166">
        <v>952</v>
      </c>
      <c r="L32" s="166">
        <v>818</v>
      </c>
      <c r="M32" s="166">
        <v>134</v>
      </c>
      <c r="N32" s="166">
        <f>O32+P32</f>
        <v>1624</v>
      </c>
      <c r="O32" s="166">
        <v>1340</v>
      </c>
      <c r="P32" s="166">
        <v>284</v>
      </c>
      <c r="Q32" s="166">
        <f>R32+S32</f>
        <v>1598</v>
      </c>
      <c r="R32" s="166">
        <v>1393</v>
      </c>
      <c r="S32" s="166">
        <v>205</v>
      </c>
      <c r="T32" s="166">
        <f>U32+V32</f>
        <v>2326</v>
      </c>
      <c r="U32" s="166">
        <v>1777</v>
      </c>
      <c r="V32" s="166">
        <v>549</v>
      </c>
      <c r="W32" s="166">
        <f t="shared" si="70"/>
        <v>2042</v>
      </c>
      <c r="X32" s="166">
        <v>925</v>
      </c>
      <c r="Y32" s="166">
        <v>1117</v>
      </c>
      <c r="Z32" s="166">
        <f t="shared" si="71"/>
        <v>2294</v>
      </c>
      <c r="AA32" s="166">
        <v>1613</v>
      </c>
      <c r="AB32" s="166">
        <v>681</v>
      </c>
      <c r="AC32" s="166">
        <f t="shared" si="72"/>
        <v>2599</v>
      </c>
      <c r="AD32" s="166">
        <v>2345</v>
      </c>
      <c r="AE32" s="166">
        <v>254</v>
      </c>
      <c r="AF32" s="166">
        <f t="shared" si="73"/>
        <v>1669</v>
      </c>
      <c r="AG32" s="166">
        <v>1549</v>
      </c>
      <c r="AH32" s="166">
        <v>120</v>
      </c>
      <c r="AI32" s="166">
        <f t="shared" si="74"/>
        <v>532</v>
      </c>
      <c r="AJ32" s="166">
        <v>370</v>
      </c>
      <c r="AK32" s="166">
        <v>162</v>
      </c>
      <c r="AL32" s="166">
        <f t="shared" si="75"/>
        <v>2469</v>
      </c>
      <c r="AM32" s="166">
        <v>2258</v>
      </c>
      <c r="AN32" s="166">
        <v>211</v>
      </c>
      <c r="AO32" s="166">
        <f t="shared" si="76"/>
        <v>1097</v>
      </c>
      <c r="AP32" s="166">
        <v>943</v>
      </c>
      <c r="AQ32" s="166">
        <v>154</v>
      </c>
      <c r="AR32" s="166">
        <f t="shared" si="77"/>
        <v>1878</v>
      </c>
      <c r="AS32" s="166">
        <v>1641</v>
      </c>
      <c r="AT32" s="166">
        <v>237</v>
      </c>
      <c r="AU32" s="166">
        <f t="shared" si="78"/>
        <v>729</v>
      </c>
      <c r="AV32" s="166">
        <v>528</v>
      </c>
      <c r="AW32" s="166">
        <v>201</v>
      </c>
      <c r="AX32" s="166">
        <f t="shared" si="79"/>
        <v>2358</v>
      </c>
      <c r="AY32" s="166">
        <v>2133</v>
      </c>
      <c r="AZ32" s="166">
        <v>225</v>
      </c>
      <c r="BA32" s="166">
        <f t="shared" si="80"/>
        <v>1221</v>
      </c>
      <c r="BB32" s="166">
        <v>954</v>
      </c>
      <c r="BC32" s="166">
        <v>267</v>
      </c>
      <c r="BD32" s="166">
        <f t="shared" si="81"/>
        <v>1724</v>
      </c>
      <c r="BE32" s="166">
        <v>1624</v>
      </c>
      <c r="BF32" s="166">
        <v>100</v>
      </c>
      <c r="BG32" s="166">
        <f t="shared" si="82"/>
        <v>735</v>
      </c>
      <c r="BH32" s="166">
        <v>664</v>
      </c>
      <c r="BI32" s="166">
        <v>71</v>
      </c>
      <c r="BJ32" s="166">
        <f t="shared" si="83"/>
        <v>2703</v>
      </c>
      <c r="BK32" s="166">
        <v>2249</v>
      </c>
      <c r="BL32" s="166">
        <v>454</v>
      </c>
      <c r="BM32" s="166">
        <f t="shared" si="84"/>
        <v>3568</v>
      </c>
      <c r="BN32" s="166">
        <v>3311</v>
      </c>
      <c r="BO32" s="166">
        <v>257</v>
      </c>
      <c r="BP32" s="166">
        <f t="shared" si="85"/>
        <v>4148</v>
      </c>
      <c r="BQ32" s="166">
        <v>3879</v>
      </c>
      <c r="BR32" s="166">
        <v>269</v>
      </c>
      <c r="BS32" s="166">
        <f t="shared" si="86"/>
        <v>4001</v>
      </c>
      <c r="BT32" s="166">
        <v>3703</v>
      </c>
      <c r="BU32" s="166">
        <v>298</v>
      </c>
      <c r="BV32" s="166">
        <f t="shared" si="87"/>
        <v>2590</v>
      </c>
      <c r="BW32" s="166">
        <v>2424</v>
      </c>
      <c r="BX32" s="166">
        <v>166</v>
      </c>
      <c r="BY32" s="166">
        <f t="shared" si="88"/>
        <v>3140</v>
      </c>
      <c r="BZ32" s="166">
        <v>2898</v>
      </c>
      <c r="CA32" s="166">
        <v>242</v>
      </c>
      <c r="CB32" s="166">
        <v>3238</v>
      </c>
      <c r="CC32" s="166">
        <v>2882</v>
      </c>
      <c r="CD32" s="166">
        <v>356</v>
      </c>
      <c r="CE32" s="166">
        <f t="shared" si="89"/>
        <v>1809</v>
      </c>
      <c r="CF32" s="166">
        <v>1462</v>
      </c>
      <c r="CG32" s="166">
        <v>347</v>
      </c>
      <c r="CH32" s="166">
        <f t="shared" si="90"/>
        <v>3894</v>
      </c>
      <c r="CI32" s="166">
        <v>1900</v>
      </c>
      <c r="CJ32" s="166">
        <v>1994</v>
      </c>
      <c r="CK32" s="166">
        <f t="shared" si="91"/>
        <v>4727</v>
      </c>
      <c r="CL32" s="166">
        <v>2614</v>
      </c>
      <c r="CM32" s="166">
        <v>2113</v>
      </c>
      <c r="CN32" s="166">
        <f t="shared" si="92"/>
        <v>5076</v>
      </c>
      <c r="CO32" s="166">
        <v>1852</v>
      </c>
      <c r="CP32" s="166">
        <v>3224</v>
      </c>
      <c r="CQ32" s="166">
        <f t="shared" si="93"/>
        <v>3282</v>
      </c>
      <c r="CR32" s="166">
        <v>2461</v>
      </c>
      <c r="CS32" s="166">
        <v>821</v>
      </c>
      <c r="CT32" s="166">
        <f t="shared" si="94"/>
        <v>5711</v>
      </c>
      <c r="CU32" s="166">
        <v>4181</v>
      </c>
      <c r="CV32" s="166">
        <v>1530</v>
      </c>
      <c r="CW32" s="166">
        <f t="shared" si="95"/>
        <v>4832</v>
      </c>
      <c r="CX32" s="166">
        <v>3794</v>
      </c>
      <c r="CY32" s="166">
        <v>1038</v>
      </c>
      <c r="CZ32" s="166">
        <f t="shared" si="96"/>
        <v>14860</v>
      </c>
      <c r="DA32" s="166">
        <v>13427</v>
      </c>
      <c r="DB32" s="166">
        <v>1433</v>
      </c>
      <c r="DC32" s="166">
        <f t="shared" si="97"/>
        <v>13785</v>
      </c>
      <c r="DD32" s="166">
        <v>12485</v>
      </c>
      <c r="DE32" s="166">
        <v>1300</v>
      </c>
      <c r="DF32" s="166">
        <f t="shared" si="98"/>
        <v>7664</v>
      </c>
      <c r="DG32" s="166">
        <v>6768</v>
      </c>
      <c r="DH32" s="166">
        <v>896</v>
      </c>
      <c r="DI32" s="166">
        <f t="shared" si="99"/>
        <v>13720.161</v>
      </c>
      <c r="DJ32" s="166">
        <v>13219.014999999999</v>
      </c>
      <c r="DK32" s="166">
        <v>501.14600000000002</v>
      </c>
      <c r="DL32" s="166">
        <v>11189</v>
      </c>
      <c r="DM32" s="166">
        <v>10697.468999999999</v>
      </c>
      <c r="DN32" s="166">
        <v>491.45699999999999</v>
      </c>
      <c r="DO32" s="166">
        <f t="shared" si="100"/>
        <v>12397.752</v>
      </c>
      <c r="DP32" s="166">
        <v>12073.562</v>
      </c>
      <c r="DQ32" s="166">
        <v>324.19</v>
      </c>
      <c r="DR32" s="166">
        <f t="shared" si="63"/>
        <v>13936</v>
      </c>
      <c r="DS32" s="166">
        <v>13620</v>
      </c>
      <c r="DT32" s="166">
        <v>316</v>
      </c>
      <c r="DU32" s="166">
        <f t="shared" si="64"/>
        <v>12792</v>
      </c>
      <c r="DV32" s="166">
        <v>12538</v>
      </c>
      <c r="DW32" s="166">
        <v>254</v>
      </c>
      <c r="DX32" s="166">
        <v>14424.253000000001</v>
      </c>
      <c r="DY32" s="166">
        <v>14242.598</v>
      </c>
      <c r="DZ32" s="166">
        <v>181.655</v>
      </c>
      <c r="EA32" s="374">
        <v>13645</v>
      </c>
      <c r="EB32" s="374">
        <v>13124</v>
      </c>
      <c r="EC32" s="374">
        <v>520</v>
      </c>
    </row>
    <row r="33" spans="1:133" s="164" customFormat="1" ht="15" customHeight="1" x14ac:dyDescent="0.2">
      <c r="A33" s="441" t="s">
        <v>614</v>
      </c>
      <c r="B33" s="165">
        <f t="shared" si="67"/>
        <v>50653</v>
      </c>
      <c r="C33" s="165">
        <v>50643</v>
      </c>
      <c r="D33" s="165">
        <v>10</v>
      </c>
      <c r="E33" s="165">
        <f t="shared" si="68"/>
        <v>52900</v>
      </c>
      <c r="F33" s="165">
        <v>52891</v>
      </c>
      <c r="G33" s="165">
        <v>9</v>
      </c>
      <c r="H33" s="166">
        <f t="shared" si="69"/>
        <v>55319</v>
      </c>
      <c r="I33" s="166">
        <v>55312</v>
      </c>
      <c r="J33" s="166">
        <v>7</v>
      </c>
      <c r="K33" s="166">
        <f>L33+M33</f>
        <v>58526</v>
      </c>
      <c r="L33" s="166">
        <v>58519</v>
      </c>
      <c r="M33" s="166">
        <v>7</v>
      </c>
      <c r="N33" s="166">
        <v>59722</v>
      </c>
      <c r="O33" s="166">
        <v>59716</v>
      </c>
      <c r="P33" s="166">
        <v>6</v>
      </c>
      <c r="Q33" s="166">
        <f>R33+S33</f>
        <v>62068</v>
      </c>
      <c r="R33" s="166">
        <v>62063</v>
      </c>
      <c r="S33" s="166">
        <v>5</v>
      </c>
      <c r="T33" s="166">
        <f>U33+V33</f>
        <v>62888</v>
      </c>
      <c r="U33" s="166">
        <v>62883</v>
      </c>
      <c r="V33" s="166">
        <v>5</v>
      </c>
      <c r="W33" s="166">
        <f t="shared" si="70"/>
        <v>64587</v>
      </c>
      <c r="X33" s="166">
        <v>64584</v>
      </c>
      <c r="Y33" s="166">
        <v>3</v>
      </c>
      <c r="Z33" s="166">
        <f t="shared" si="71"/>
        <v>66673</v>
      </c>
      <c r="AA33" s="166">
        <v>66670</v>
      </c>
      <c r="AB33" s="166">
        <v>3</v>
      </c>
      <c r="AC33" s="166">
        <f t="shared" si="72"/>
        <v>68829</v>
      </c>
      <c r="AD33" s="166">
        <v>68827</v>
      </c>
      <c r="AE33" s="166">
        <v>2</v>
      </c>
      <c r="AF33" s="166">
        <f t="shared" si="73"/>
        <v>71401</v>
      </c>
      <c r="AG33" s="166">
        <v>71399</v>
      </c>
      <c r="AH33" s="166">
        <v>2</v>
      </c>
      <c r="AI33" s="166">
        <f t="shared" si="74"/>
        <v>75572</v>
      </c>
      <c r="AJ33" s="166">
        <v>75570</v>
      </c>
      <c r="AK33" s="166">
        <v>2</v>
      </c>
      <c r="AL33" s="166">
        <f t="shared" si="75"/>
        <v>77685</v>
      </c>
      <c r="AM33" s="166">
        <v>77683</v>
      </c>
      <c r="AN33" s="166">
        <v>2</v>
      </c>
      <c r="AO33" s="166">
        <f t="shared" si="76"/>
        <v>79309</v>
      </c>
      <c r="AP33" s="166">
        <v>79307</v>
      </c>
      <c r="AQ33" s="166">
        <v>2</v>
      </c>
      <c r="AR33" s="166">
        <f t="shared" si="77"/>
        <v>82362</v>
      </c>
      <c r="AS33" s="166">
        <v>82361</v>
      </c>
      <c r="AT33" s="166">
        <v>1</v>
      </c>
      <c r="AU33" s="166">
        <f t="shared" si="78"/>
        <v>87177</v>
      </c>
      <c r="AV33" s="166">
        <v>87176</v>
      </c>
      <c r="AW33" s="166">
        <v>1</v>
      </c>
      <c r="AX33" s="166">
        <f t="shared" si="79"/>
        <v>89980</v>
      </c>
      <c r="AY33" s="166">
        <v>89979</v>
      </c>
      <c r="AZ33" s="166">
        <v>1</v>
      </c>
      <c r="BA33" s="166">
        <f t="shared" si="80"/>
        <v>93938</v>
      </c>
      <c r="BB33" s="166">
        <v>93937</v>
      </c>
      <c r="BC33" s="166">
        <v>1</v>
      </c>
      <c r="BD33" s="166">
        <f t="shared" si="81"/>
        <v>97099</v>
      </c>
      <c r="BE33" s="166">
        <v>97098</v>
      </c>
      <c r="BF33" s="166">
        <v>1</v>
      </c>
      <c r="BG33" s="166">
        <f t="shared" si="82"/>
        <v>103653</v>
      </c>
      <c r="BH33" s="166">
        <v>103652</v>
      </c>
      <c r="BI33" s="166">
        <v>1</v>
      </c>
      <c r="BJ33" s="166">
        <f t="shared" si="83"/>
        <v>106953</v>
      </c>
      <c r="BK33" s="166">
        <v>106952</v>
      </c>
      <c r="BL33" s="166">
        <v>1</v>
      </c>
      <c r="BM33" s="166">
        <f t="shared" si="84"/>
        <v>111789</v>
      </c>
      <c r="BN33" s="166">
        <v>111788</v>
      </c>
      <c r="BO33" s="166">
        <v>1</v>
      </c>
      <c r="BP33" s="166">
        <f t="shared" si="85"/>
        <v>117807</v>
      </c>
      <c r="BQ33" s="166">
        <v>117806</v>
      </c>
      <c r="BR33" s="166">
        <v>1</v>
      </c>
      <c r="BS33" s="166">
        <f t="shared" si="86"/>
        <v>124218</v>
      </c>
      <c r="BT33" s="166">
        <v>124217</v>
      </c>
      <c r="BU33" s="166">
        <v>1</v>
      </c>
      <c r="BV33" s="166">
        <f t="shared" si="87"/>
        <v>127367</v>
      </c>
      <c r="BW33" s="166">
        <v>127366</v>
      </c>
      <c r="BX33" s="166">
        <v>1</v>
      </c>
      <c r="BY33" s="166">
        <f t="shared" si="88"/>
        <v>131819</v>
      </c>
      <c r="BZ33" s="166">
        <v>131818</v>
      </c>
      <c r="CA33" s="166">
        <v>1</v>
      </c>
      <c r="CB33" s="166">
        <v>133554</v>
      </c>
      <c r="CC33" s="166">
        <v>133553</v>
      </c>
      <c r="CD33" s="166">
        <v>1</v>
      </c>
      <c r="CE33" s="166">
        <f t="shared" si="89"/>
        <v>136229</v>
      </c>
      <c r="CF33" s="166">
        <v>136228</v>
      </c>
      <c r="CG33" s="166">
        <v>1</v>
      </c>
      <c r="CH33" s="166">
        <f t="shared" si="90"/>
        <v>137751</v>
      </c>
      <c r="CI33" s="166">
        <v>137750</v>
      </c>
      <c r="CJ33" s="166">
        <v>1</v>
      </c>
      <c r="CK33" s="166">
        <f t="shared" si="91"/>
        <v>142733</v>
      </c>
      <c r="CL33" s="166">
        <v>142732</v>
      </c>
      <c r="CM33" s="166">
        <v>1</v>
      </c>
      <c r="CN33" s="166">
        <f t="shared" si="92"/>
        <v>145969</v>
      </c>
      <c r="CO33" s="166">
        <v>145968</v>
      </c>
      <c r="CP33" s="166">
        <v>1</v>
      </c>
      <c r="CQ33" s="166">
        <f t="shared" si="93"/>
        <v>153267</v>
      </c>
      <c r="CR33" s="166">
        <v>153266</v>
      </c>
      <c r="CS33" s="166">
        <v>1</v>
      </c>
      <c r="CT33" s="166">
        <f t="shared" si="94"/>
        <v>157295</v>
      </c>
      <c r="CU33" s="166">
        <v>157294</v>
      </c>
      <c r="CV33" s="166">
        <v>1</v>
      </c>
      <c r="CW33" s="166">
        <f t="shared" si="95"/>
        <v>164566</v>
      </c>
      <c r="CX33" s="166">
        <v>164565</v>
      </c>
      <c r="CY33" s="166">
        <v>1</v>
      </c>
      <c r="CZ33" s="166">
        <f t="shared" si="96"/>
        <v>168629</v>
      </c>
      <c r="DA33" s="166">
        <v>168628</v>
      </c>
      <c r="DB33" s="166">
        <v>1</v>
      </c>
      <c r="DC33" s="166">
        <f t="shared" si="97"/>
        <v>177834</v>
      </c>
      <c r="DD33" s="166">
        <v>177833</v>
      </c>
      <c r="DE33" s="166">
        <v>1</v>
      </c>
      <c r="DF33" s="166">
        <f t="shared" si="98"/>
        <v>182972.79699999999</v>
      </c>
      <c r="DG33" s="166">
        <v>182972</v>
      </c>
      <c r="DH33" s="166">
        <v>0.79700000000000004</v>
      </c>
      <c r="DI33" s="166">
        <f t="shared" si="99"/>
        <v>190649.09700000001</v>
      </c>
      <c r="DJ33" s="166">
        <v>190648.38</v>
      </c>
      <c r="DK33" s="166">
        <v>0.71699999999999997</v>
      </c>
      <c r="DL33" s="166">
        <v>213608</v>
      </c>
      <c r="DM33" s="166">
        <v>213607.08100000001</v>
      </c>
      <c r="DN33" s="166">
        <v>0.72399999999999998</v>
      </c>
      <c r="DO33" s="166">
        <f t="shared" si="100"/>
        <v>223342.15699999998</v>
      </c>
      <c r="DP33" s="166">
        <v>223341.50399999999</v>
      </c>
      <c r="DQ33" s="166">
        <v>0.65300000000000002</v>
      </c>
      <c r="DR33" s="166">
        <f t="shared" si="63"/>
        <v>229432</v>
      </c>
      <c r="DS33" s="166">
        <v>229431</v>
      </c>
      <c r="DT33" s="166">
        <v>1</v>
      </c>
      <c r="DU33" s="166">
        <f t="shared" si="64"/>
        <v>233640</v>
      </c>
      <c r="DV33" s="166">
        <v>233637</v>
      </c>
      <c r="DW33" s="166">
        <v>3</v>
      </c>
      <c r="DX33" s="166">
        <v>239421.08300000001</v>
      </c>
      <c r="DY33" s="166">
        <v>239416.08100000001</v>
      </c>
      <c r="DZ33" s="166">
        <v>5.0019999999999998</v>
      </c>
      <c r="EA33" s="374">
        <v>247092</v>
      </c>
      <c r="EB33" s="374">
        <v>247087</v>
      </c>
      <c r="EC33" s="374">
        <v>5</v>
      </c>
    </row>
    <row r="34" spans="1:133" s="164" customFormat="1" ht="15" customHeight="1" x14ac:dyDescent="0.2">
      <c r="A34" s="443" t="s">
        <v>615</v>
      </c>
      <c r="B34" s="165"/>
      <c r="C34" s="165"/>
      <c r="D34" s="165"/>
      <c r="E34" s="165"/>
      <c r="F34" s="165"/>
      <c r="G34" s="165"/>
      <c r="H34" s="166"/>
      <c r="I34" s="166"/>
      <c r="J34" s="166"/>
      <c r="K34" s="166"/>
      <c r="L34" s="166"/>
      <c r="M34" s="166"/>
      <c r="N34" s="166"/>
      <c r="O34" s="166"/>
      <c r="P34" s="166"/>
      <c r="Q34" s="166"/>
      <c r="R34" s="166"/>
      <c r="S34" s="166"/>
      <c r="T34" s="166"/>
      <c r="U34" s="166"/>
      <c r="V34" s="166"/>
      <c r="W34" s="166"/>
      <c r="X34" s="166"/>
      <c r="Y34" s="166"/>
      <c r="Z34" s="166"/>
      <c r="AA34" s="166"/>
      <c r="AB34" s="166"/>
      <c r="AC34" s="166"/>
      <c r="AD34" s="166"/>
      <c r="AE34" s="166"/>
      <c r="AF34" s="166"/>
      <c r="AG34" s="166"/>
      <c r="AH34" s="166"/>
      <c r="AI34" s="166"/>
      <c r="AJ34" s="166"/>
      <c r="AK34" s="166"/>
      <c r="AL34" s="166"/>
      <c r="AM34" s="166"/>
      <c r="AN34" s="166"/>
      <c r="AO34" s="166"/>
      <c r="AP34" s="166"/>
      <c r="AQ34" s="166"/>
      <c r="AR34" s="166"/>
      <c r="AS34" s="166"/>
      <c r="AT34" s="166"/>
      <c r="AU34" s="166"/>
      <c r="AV34" s="166"/>
      <c r="AW34" s="166"/>
      <c r="AX34" s="166"/>
      <c r="AY34" s="166"/>
      <c r="AZ34" s="166"/>
      <c r="BA34" s="166"/>
      <c r="BB34" s="166"/>
      <c r="BC34" s="166"/>
      <c r="BD34" s="166"/>
      <c r="BE34" s="166"/>
      <c r="BF34" s="166"/>
      <c r="BG34" s="166"/>
      <c r="BH34" s="166"/>
      <c r="BI34" s="166"/>
      <c r="BJ34" s="166"/>
      <c r="BK34" s="166"/>
      <c r="BL34" s="166"/>
      <c r="BM34" s="166"/>
      <c r="BN34" s="166"/>
      <c r="BO34" s="166"/>
      <c r="BP34" s="166"/>
      <c r="BQ34" s="166"/>
      <c r="BR34" s="166"/>
      <c r="BS34" s="166"/>
      <c r="BT34" s="166"/>
      <c r="BU34" s="166"/>
      <c r="BV34" s="166"/>
      <c r="BW34" s="166"/>
      <c r="BX34" s="166"/>
      <c r="BY34" s="166"/>
      <c r="BZ34" s="166"/>
      <c r="CA34" s="166"/>
      <c r="CB34" s="166"/>
      <c r="CC34" s="166"/>
      <c r="CD34" s="166"/>
      <c r="CE34" s="166"/>
      <c r="CF34" s="166"/>
      <c r="CG34" s="166"/>
      <c r="CH34" s="166"/>
      <c r="CI34" s="166"/>
      <c r="CJ34" s="166"/>
      <c r="CK34" s="166"/>
      <c r="CL34" s="166"/>
      <c r="CM34" s="166"/>
      <c r="CN34" s="166"/>
      <c r="CO34" s="166"/>
      <c r="CP34" s="166"/>
      <c r="CQ34" s="166"/>
      <c r="CR34" s="166"/>
      <c r="CS34" s="166"/>
      <c r="CT34" s="166"/>
      <c r="CU34" s="166"/>
      <c r="CV34" s="166"/>
      <c r="CW34" s="166"/>
      <c r="CX34" s="166"/>
      <c r="CY34" s="166"/>
      <c r="CZ34" s="166"/>
      <c r="DA34" s="166"/>
      <c r="DB34" s="166"/>
      <c r="DC34" s="166"/>
      <c r="DD34" s="166"/>
      <c r="DE34" s="166"/>
      <c r="DF34" s="166"/>
      <c r="DG34" s="166"/>
      <c r="DH34" s="166"/>
      <c r="DI34" s="166"/>
      <c r="DJ34" s="166"/>
      <c r="DK34" s="166"/>
      <c r="DL34" s="166"/>
      <c r="DM34" s="166"/>
      <c r="DN34" s="166"/>
      <c r="DO34" s="166"/>
      <c r="DP34" s="166"/>
      <c r="DQ34" s="166"/>
      <c r="DR34" s="166"/>
      <c r="DS34" s="166">
        <v>0</v>
      </c>
      <c r="DT34" s="166">
        <v>0</v>
      </c>
      <c r="DU34" s="166"/>
      <c r="DV34" s="166"/>
      <c r="DW34" s="166"/>
      <c r="DX34" s="166"/>
      <c r="DY34" s="166"/>
      <c r="DZ34" s="166"/>
      <c r="EA34" s="374"/>
      <c r="EB34" s="374"/>
      <c r="EC34" s="374"/>
    </row>
    <row r="35" spans="1:133" s="164" customFormat="1" ht="15" customHeight="1" x14ac:dyDescent="0.2">
      <c r="A35" s="441" t="s">
        <v>616</v>
      </c>
      <c r="B35" s="165">
        <f>C35+D35</f>
        <v>12147</v>
      </c>
      <c r="C35" s="165">
        <v>9236</v>
      </c>
      <c r="D35" s="165">
        <v>2911</v>
      </c>
      <c r="E35" s="165">
        <f>F35+G35</f>
        <v>13203</v>
      </c>
      <c r="F35" s="165">
        <v>10506</v>
      </c>
      <c r="G35" s="165">
        <v>2697</v>
      </c>
      <c r="H35" s="166">
        <f>I35+J35</f>
        <v>13441</v>
      </c>
      <c r="I35" s="166">
        <v>10790</v>
      </c>
      <c r="J35" s="166">
        <v>2651</v>
      </c>
      <c r="K35" s="166">
        <v>15818</v>
      </c>
      <c r="L35" s="166">
        <v>13389</v>
      </c>
      <c r="M35" s="166">
        <v>2529</v>
      </c>
      <c r="N35" s="166">
        <f>O35+P35</f>
        <v>16537</v>
      </c>
      <c r="O35" s="166">
        <v>13953</v>
      </c>
      <c r="P35" s="166">
        <v>2584</v>
      </c>
      <c r="Q35" s="166">
        <f>R35+S35</f>
        <v>16686</v>
      </c>
      <c r="R35" s="166">
        <v>14375</v>
      </c>
      <c r="S35" s="166">
        <v>2311</v>
      </c>
      <c r="T35" s="166">
        <f>U35+V35</f>
        <v>17722</v>
      </c>
      <c r="U35" s="166">
        <v>14969</v>
      </c>
      <c r="V35" s="166">
        <v>2753</v>
      </c>
      <c r="W35" s="166">
        <f>X35+Y35</f>
        <v>19687</v>
      </c>
      <c r="X35" s="166">
        <v>16394</v>
      </c>
      <c r="Y35" s="166">
        <v>3293</v>
      </c>
      <c r="Z35" s="166">
        <f>AA35+AB35</f>
        <v>20274</v>
      </c>
      <c r="AA35" s="166">
        <v>17013</v>
      </c>
      <c r="AB35" s="166">
        <v>3261</v>
      </c>
      <c r="AC35" s="166">
        <f>AD35+AE35</f>
        <v>20406</v>
      </c>
      <c r="AD35" s="166">
        <v>17669</v>
      </c>
      <c r="AE35" s="166">
        <v>2737</v>
      </c>
      <c r="AF35" s="166">
        <f>AG35+AH35</f>
        <v>22880</v>
      </c>
      <c r="AG35" s="166">
        <v>18989</v>
      </c>
      <c r="AH35" s="166">
        <v>3891</v>
      </c>
      <c r="AI35" s="166">
        <f>AJ35+AK35</f>
        <v>23104</v>
      </c>
      <c r="AJ35" s="166">
        <v>19325</v>
      </c>
      <c r="AK35" s="166">
        <v>3779</v>
      </c>
      <c r="AL35" s="166">
        <f>AM35+AN35</f>
        <v>23541</v>
      </c>
      <c r="AM35" s="166">
        <v>19687</v>
      </c>
      <c r="AN35" s="166">
        <v>3854</v>
      </c>
      <c r="AO35" s="166">
        <f>AP35+AQ35</f>
        <v>23384</v>
      </c>
      <c r="AP35" s="166">
        <v>20100</v>
      </c>
      <c r="AQ35" s="166">
        <v>3284</v>
      </c>
      <c r="AR35" s="166">
        <f>AS35+AT35</f>
        <v>25697</v>
      </c>
      <c r="AS35" s="166">
        <v>20672</v>
      </c>
      <c r="AT35" s="166">
        <v>5025</v>
      </c>
      <c r="AU35" s="166">
        <f>AV35+AW35</f>
        <v>26315</v>
      </c>
      <c r="AV35" s="166">
        <v>21236</v>
      </c>
      <c r="AW35" s="166">
        <v>5079</v>
      </c>
      <c r="AX35" s="166">
        <f>AY35+AZ35</f>
        <v>24408</v>
      </c>
      <c r="AY35" s="166">
        <v>18610</v>
      </c>
      <c r="AZ35" s="166">
        <v>5798</v>
      </c>
      <c r="BA35" s="166">
        <f>BB35+BC35</f>
        <v>24563</v>
      </c>
      <c r="BB35" s="166">
        <v>18962</v>
      </c>
      <c r="BC35" s="166">
        <v>5601</v>
      </c>
      <c r="BD35" s="166">
        <f>BE35+BF35</f>
        <v>26180</v>
      </c>
      <c r="BE35" s="166">
        <v>19574</v>
      </c>
      <c r="BF35" s="166">
        <v>6606</v>
      </c>
      <c r="BG35" s="166">
        <f>BH35+BI35</f>
        <v>26910</v>
      </c>
      <c r="BH35" s="166">
        <v>20506</v>
      </c>
      <c r="BI35" s="166">
        <v>6404</v>
      </c>
      <c r="BJ35" s="166">
        <f>BK35+BL35</f>
        <v>30122</v>
      </c>
      <c r="BK35" s="166">
        <v>21939</v>
      </c>
      <c r="BL35" s="166">
        <v>8183</v>
      </c>
      <c r="BM35" s="166">
        <f>BN35+BO35</f>
        <v>34091</v>
      </c>
      <c r="BN35" s="166">
        <v>25408</v>
      </c>
      <c r="BO35" s="166">
        <v>8683</v>
      </c>
      <c r="BP35" s="166">
        <f>BQ35+BR35</f>
        <v>34507</v>
      </c>
      <c r="BQ35" s="166">
        <v>25792</v>
      </c>
      <c r="BR35" s="166">
        <v>8715</v>
      </c>
      <c r="BS35" s="166">
        <f>BT35+BU35</f>
        <v>34852</v>
      </c>
      <c r="BT35" s="166">
        <v>26045</v>
      </c>
      <c r="BU35" s="166">
        <v>8807</v>
      </c>
      <c r="BV35" s="166">
        <f>BW35+BX35</f>
        <v>35057</v>
      </c>
      <c r="BW35" s="166">
        <v>26460</v>
      </c>
      <c r="BX35" s="166">
        <v>8597</v>
      </c>
      <c r="BY35" s="166">
        <f>BZ35+CA35</f>
        <v>36222</v>
      </c>
      <c r="BZ35" s="166">
        <v>26674</v>
      </c>
      <c r="CA35" s="166">
        <v>9548</v>
      </c>
      <c r="CB35" s="166">
        <v>36135</v>
      </c>
      <c r="CC35" s="166">
        <v>26574</v>
      </c>
      <c r="CD35" s="166">
        <v>9561</v>
      </c>
      <c r="CE35" s="166">
        <f>CF35+CG35</f>
        <v>35885</v>
      </c>
      <c r="CF35" s="166">
        <v>26933</v>
      </c>
      <c r="CG35" s="166">
        <v>8952</v>
      </c>
      <c r="CH35" s="166">
        <f>CI35+CJ35</f>
        <v>35840</v>
      </c>
      <c r="CI35" s="166">
        <v>27294</v>
      </c>
      <c r="CJ35" s="166">
        <v>8546</v>
      </c>
      <c r="CK35" s="166">
        <f>CL35+CM35</f>
        <v>35384</v>
      </c>
      <c r="CL35" s="166">
        <v>27658</v>
      </c>
      <c r="CM35" s="166">
        <v>7726</v>
      </c>
      <c r="CN35" s="166">
        <f>CO35+CP35</f>
        <v>36464</v>
      </c>
      <c r="CO35" s="166">
        <v>27992</v>
      </c>
      <c r="CP35" s="166">
        <v>8472</v>
      </c>
      <c r="CQ35" s="166">
        <f>CR35+CS35</f>
        <v>35822</v>
      </c>
      <c r="CR35" s="166">
        <v>26501</v>
      </c>
      <c r="CS35" s="166">
        <v>9321</v>
      </c>
      <c r="CT35" s="166">
        <f>CU35+CV35</f>
        <v>37990</v>
      </c>
      <c r="CU35" s="166">
        <v>26897</v>
      </c>
      <c r="CV35" s="166">
        <v>11093</v>
      </c>
      <c r="CW35" s="166">
        <f>CX35+CY35</f>
        <v>37425</v>
      </c>
      <c r="CX35" s="166">
        <v>26533</v>
      </c>
      <c r="CY35" s="166">
        <v>10892</v>
      </c>
      <c r="CZ35" s="166">
        <f>DA35+DB35</f>
        <v>38536</v>
      </c>
      <c r="DA35" s="166">
        <v>24792</v>
      </c>
      <c r="DB35" s="166">
        <v>13744</v>
      </c>
      <c r="DC35" s="166">
        <f>DD35+DE35</f>
        <v>38838</v>
      </c>
      <c r="DD35" s="166">
        <v>25124</v>
      </c>
      <c r="DE35" s="166">
        <v>13714</v>
      </c>
      <c r="DF35" s="166">
        <f>DG35+DH35</f>
        <v>50183.985000000001</v>
      </c>
      <c r="DG35" s="166">
        <v>37868.985000000001</v>
      </c>
      <c r="DH35" s="166">
        <v>12315</v>
      </c>
      <c r="DI35" s="166">
        <f>DJ35+DK35</f>
        <v>37075.356</v>
      </c>
      <c r="DJ35" s="166">
        <v>25799.073</v>
      </c>
      <c r="DK35" s="166">
        <v>11276.282999999999</v>
      </c>
      <c r="DL35" s="166">
        <v>38785</v>
      </c>
      <c r="DM35" s="166">
        <v>27547.064999999999</v>
      </c>
      <c r="DN35" s="166">
        <v>11238.222</v>
      </c>
      <c r="DO35" s="166">
        <f t="shared" si="100"/>
        <v>37651</v>
      </c>
      <c r="DP35" s="166">
        <v>26196</v>
      </c>
      <c r="DQ35" s="166">
        <v>11455</v>
      </c>
      <c r="DR35" s="166">
        <f t="shared" si="63"/>
        <v>37652</v>
      </c>
      <c r="DS35" s="166">
        <v>26678</v>
      </c>
      <c r="DT35" s="166">
        <v>10974</v>
      </c>
      <c r="DU35" s="166">
        <f t="shared" ref="DU35:DU39" si="101">DV35+DW35</f>
        <v>53676</v>
      </c>
      <c r="DV35" s="166">
        <v>42043</v>
      </c>
      <c r="DW35" s="166">
        <v>11633</v>
      </c>
      <c r="DX35" s="166">
        <v>50533.841999999997</v>
      </c>
      <c r="DY35" s="166">
        <v>39556.072999999997</v>
      </c>
      <c r="DZ35" s="166">
        <v>10977.769</v>
      </c>
      <c r="EA35" s="374">
        <v>50179</v>
      </c>
      <c r="EB35" s="374">
        <v>38542</v>
      </c>
      <c r="EC35" s="374">
        <v>11638</v>
      </c>
    </row>
    <row r="36" spans="1:133" s="164" customFormat="1" ht="15" customHeight="1" x14ac:dyDescent="0.2">
      <c r="A36" s="441" t="s">
        <v>81</v>
      </c>
      <c r="B36" s="165">
        <f>C36+D36</f>
        <v>30509</v>
      </c>
      <c r="C36" s="165">
        <v>27976</v>
      </c>
      <c r="D36" s="165">
        <v>2533</v>
      </c>
      <c r="E36" s="165">
        <f>F36+G36</f>
        <v>30498</v>
      </c>
      <c r="F36" s="165">
        <v>29941</v>
      </c>
      <c r="G36" s="165">
        <v>557</v>
      </c>
      <c r="H36" s="166">
        <f>I36+J36</f>
        <v>32538</v>
      </c>
      <c r="I36" s="166">
        <v>31804</v>
      </c>
      <c r="J36" s="166">
        <v>734</v>
      </c>
      <c r="K36" s="166">
        <f>L36+M36</f>
        <v>30753</v>
      </c>
      <c r="L36" s="166">
        <v>30042</v>
      </c>
      <c r="M36" s="166">
        <v>711</v>
      </c>
      <c r="N36" s="166">
        <f>O36+P36</f>
        <v>34685</v>
      </c>
      <c r="O36" s="166">
        <v>32258</v>
      </c>
      <c r="P36" s="166">
        <v>2427</v>
      </c>
      <c r="Q36" s="166">
        <f>R36+S36</f>
        <v>35120</v>
      </c>
      <c r="R36" s="166">
        <v>33127</v>
      </c>
      <c r="S36" s="166">
        <v>1993</v>
      </c>
      <c r="T36" s="166">
        <f>U36+V36</f>
        <v>37018</v>
      </c>
      <c r="U36" s="166">
        <v>32529</v>
      </c>
      <c r="V36" s="166">
        <v>4489</v>
      </c>
      <c r="W36" s="166">
        <f>X36+Y36</f>
        <v>44903</v>
      </c>
      <c r="X36" s="166">
        <v>35237</v>
      </c>
      <c r="Y36" s="166">
        <v>9666</v>
      </c>
      <c r="Z36" s="166">
        <f>AA36+AB36</f>
        <v>54235</v>
      </c>
      <c r="AA36" s="166">
        <v>40419</v>
      </c>
      <c r="AB36" s="166">
        <v>13816</v>
      </c>
      <c r="AC36" s="166">
        <f>AD36+AE36</f>
        <v>46839</v>
      </c>
      <c r="AD36" s="166">
        <v>40075</v>
      </c>
      <c r="AE36" s="166">
        <v>6764</v>
      </c>
      <c r="AF36" s="166">
        <f>AG36+AH36</f>
        <v>43218</v>
      </c>
      <c r="AG36" s="166">
        <v>39748</v>
      </c>
      <c r="AH36" s="166">
        <v>3470</v>
      </c>
      <c r="AI36" s="166">
        <f>AJ36+AK36</f>
        <v>42037</v>
      </c>
      <c r="AJ36" s="166">
        <v>38828</v>
      </c>
      <c r="AK36" s="166">
        <v>3209</v>
      </c>
      <c r="AL36" s="166">
        <f>AM36+AN36</f>
        <v>45021</v>
      </c>
      <c r="AM36" s="166">
        <v>42201</v>
      </c>
      <c r="AN36" s="166">
        <v>2820</v>
      </c>
      <c r="AO36" s="166">
        <f>AP36+AQ36</f>
        <v>48875</v>
      </c>
      <c r="AP36" s="166">
        <v>44641</v>
      </c>
      <c r="AQ36" s="166">
        <v>4234</v>
      </c>
      <c r="AR36" s="166">
        <f>AS36+AT36</f>
        <v>57455</v>
      </c>
      <c r="AS36" s="166">
        <v>50231</v>
      </c>
      <c r="AT36" s="166">
        <v>7224</v>
      </c>
      <c r="AU36" s="166">
        <v>50031</v>
      </c>
      <c r="AV36" s="166">
        <v>46819</v>
      </c>
      <c r="AW36" s="166">
        <v>3212</v>
      </c>
      <c r="AX36" s="166">
        <f>AY36+AZ36</f>
        <v>57663</v>
      </c>
      <c r="AY36" s="166">
        <v>51690</v>
      </c>
      <c r="AZ36" s="166">
        <v>5973</v>
      </c>
      <c r="BA36" s="166">
        <f>BB36+BC36</f>
        <v>60584</v>
      </c>
      <c r="BB36" s="166">
        <v>57096</v>
      </c>
      <c r="BC36" s="166">
        <v>3488</v>
      </c>
      <c r="BD36" s="166">
        <f>BE36+BF36</f>
        <v>61276</v>
      </c>
      <c r="BE36" s="166">
        <v>57286</v>
      </c>
      <c r="BF36" s="166">
        <v>3990</v>
      </c>
      <c r="BG36" s="166">
        <f>BH36+BI36</f>
        <v>59111</v>
      </c>
      <c r="BH36" s="166">
        <v>57019</v>
      </c>
      <c r="BI36" s="166">
        <v>2092</v>
      </c>
      <c r="BJ36" s="166">
        <f>BK36+BL36</f>
        <v>63805</v>
      </c>
      <c r="BK36" s="166">
        <v>59861</v>
      </c>
      <c r="BL36" s="166">
        <v>3944</v>
      </c>
      <c r="BM36" s="166">
        <f>BN36+BO36</f>
        <v>70235</v>
      </c>
      <c r="BN36" s="166">
        <v>66327</v>
      </c>
      <c r="BO36" s="166">
        <v>3908</v>
      </c>
      <c r="BP36" s="166">
        <f>BQ36+BR36</f>
        <v>71308</v>
      </c>
      <c r="BQ36" s="166">
        <v>68734</v>
      </c>
      <c r="BR36" s="166">
        <v>2574</v>
      </c>
      <c r="BS36" s="166">
        <f>BT36+BU36</f>
        <v>76067</v>
      </c>
      <c r="BT36" s="166">
        <v>71441</v>
      </c>
      <c r="BU36" s="166">
        <v>4626</v>
      </c>
      <c r="BV36" s="166">
        <f>BW36+BX36</f>
        <v>74002</v>
      </c>
      <c r="BW36" s="166">
        <v>70604</v>
      </c>
      <c r="BX36" s="166">
        <v>3398</v>
      </c>
      <c r="BY36" s="166">
        <f>BZ36+CA36</f>
        <v>76200</v>
      </c>
      <c r="BZ36" s="166">
        <v>72782</v>
      </c>
      <c r="CA36" s="166">
        <v>3418</v>
      </c>
      <c r="CB36" s="166">
        <v>79570</v>
      </c>
      <c r="CC36" s="166">
        <v>72702</v>
      </c>
      <c r="CD36" s="166">
        <v>6868</v>
      </c>
      <c r="CE36" s="166">
        <f>CF36+CG36</f>
        <v>67040</v>
      </c>
      <c r="CF36" s="166">
        <v>60808</v>
      </c>
      <c r="CG36" s="166">
        <v>6232</v>
      </c>
      <c r="CH36" s="166">
        <f>CI36+CJ36</f>
        <v>74306</v>
      </c>
      <c r="CI36" s="166">
        <v>66006</v>
      </c>
      <c r="CJ36" s="166">
        <v>8300</v>
      </c>
      <c r="CK36" s="166">
        <f>CL36+CM36</f>
        <v>72206</v>
      </c>
      <c r="CL36" s="166">
        <v>68477</v>
      </c>
      <c r="CM36" s="166">
        <v>3729</v>
      </c>
      <c r="CN36" s="166">
        <f>CO36+CP36</f>
        <v>73777</v>
      </c>
      <c r="CO36" s="166">
        <v>70348</v>
      </c>
      <c r="CP36" s="166">
        <v>3429</v>
      </c>
      <c r="CQ36" s="166">
        <f>CR36+CS36</f>
        <v>75888</v>
      </c>
      <c r="CR36" s="166">
        <v>71686</v>
      </c>
      <c r="CS36" s="166">
        <v>4202</v>
      </c>
      <c r="CT36" s="166">
        <f>CU36+CV36</f>
        <v>77764</v>
      </c>
      <c r="CU36" s="166">
        <v>74290</v>
      </c>
      <c r="CV36" s="166">
        <v>3474</v>
      </c>
      <c r="CW36" s="166">
        <f>CX36+CY36</f>
        <v>83096</v>
      </c>
      <c r="CX36" s="166">
        <v>77865</v>
      </c>
      <c r="CY36" s="166">
        <v>5231</v>
      </c>
      <c r="CZ36" s="166">
        <f>DA36+DB36</f>
        <v>93199</v>
      </c>
      <c r="DA36" s="166">
        <v>85443</v>
      </c>
      <c r="DB36" s="166">
        <v>7756</v>
      </c>
      <c r="DC36" s="166">
        <f>DD36+DE36</f>
        <v>96622</v>
      </c>
      <c r="DD36" s="166">
        <v>91987</v>
      </c>
      <c r="DE36" s="166">
        <v>4635</v>
      </c>
      <c r="DF36" s="166">
        <f>DG36+DH36</f>
        <v>98416</v>
      </c>
      <c r="DG36" s="166">
        <v>84785</v>
      </c>
      <c r="DH36" s="166">
        <v>13631</v>
      </c>
      <c r="DI36" s="166">
        <f>DJ36+DK36</f>
        <v>123691.435</v>
      </c>
      <c r="DJ36" s="166">
        <v>98272.46</v>
      </c>
      <c r="DK36" s="166">
        <v>25418.974999999999</v>
      </c>
      <c r="DL36" s="166">
        <v>123112</v>
      </c>
      <c r="DM36" s="166">
        <v>113039.79300000001</v>
      </c>
      <c r="DN36" s="166">
        <v>10071.668</v>
      </c>
      <c r="DO36" s="166">
        <f t="shared" si="100"/>
        <v>118326</v>
      </c>
      <c r="DP36" s="166">
        <v>110898</v>
      </c>
      <c r="DQ36" s="166">
        <v>7428</v>
      </c>
      <c r="DR36" s="166">
        <f t="shared" si="63"/>
        <v>114931</v>
      </c>
      <c r="DS36" s="166">
        <v>108063</v>
      </c>
      <c r="DT36" s="166">
        <v>6868</v>
      </c>
      <c r="DU36" s="166">
        <f t="shared" si="101"/>
        <v>111814</v>
      </c>
      <c r="DV36" s="166">
        <v>107217</v>
      </c>
      <c r="DW36" s="166">
        <v>4597</v>
      </c>
      <c r="DX36" s="166">
        <v>85098.879000000001</v>
      </c>
      <c r="DY36" s="166">
        <v>79496.205000000002</v>
      </c>
      <c r="DZ36" s="166">
        <v>5602.674</v>
      </c>
      <c r="EA36" s="374">
        <v>79295</v>
      </c>
      <c r="EB36" s="374">
        <v>74720</v>
      </c>
      <c r="EC36" s="374">
        <v>4575</v>
      </c>
    </row>
    <row r="37" spans="1:133" s="164" customFormat="1" ht="15" customHeight="1" x14ac:dyDescent="0.2">
      <c r="A37" s="442" t="s">
        <v>617</v>
      </c>
      <c r="B37" s="160">
        <f>C37+D37</f>
        <v>164</v>
      </c>
      <c r="C37" s="160">
        <v>164</v>
      </c>
      <c r="D37" s="160">
        <v>0</v>
      </c>
      <c r="E37" s="160">
        <f>F37+G37</f>
        <v>173</v>
      </c>
      <c r="F37" s="160">
        <v>173</v>
      </c>
      <c r="G37" s="160">
        <v>0</v>
      </c>
      <c r="H37" s="161">
        <f>I37+J37</f>
        <v>173</v>
      </c>
      <c r="I37" s="161">
        <v>173</v>
      </c>
      <c r="J37" s="161">
        <v>0</v>
      </c>
      <c r="K37" s="161">
        <f>L37+M37</f>
        <v>189</v>
      </c>
      <c r="L37" s="161">
        <v>189</v>
      </c>
      <c r="M37" s="161">
        <v>0</v>
      </c>
      <c r="N37" s="161">
        <f>O37+P37</f>
        <v>190</v>
      </c>
      <c r="O37" s="161">
        <v>190</v>
      </c>
      <c r="P37" s="161">
        <v>0</v>
      </c>
      <c r="Q37" s="161">
        <f>R37+S37</f>
        <v>208</v>
      </c>
      <c r="R37" s="161">
        <v>208</v>
      </c>
      <c r="S37" s="161">
        <v>0</v>
      </c>
      <c r="T37" s="161">
        <f>U37+V37</f>
        <v>227</v>
      </c>
      <c r="U37" s="161">
        <v>227</v>
      </c>
      <c r="V37" s="161">
        <v>0</v>
      </c>
      <c r="W37" s="161">
        <f>X37+Y37</f>
        <v>273</v>
      </c>
      <c r="X37" s="161">
        <v>273</v>
      </c>
      <c r="Y37" s="161">
        <v>0</v>
      </c>
      <c r="Z37" s="161">
        <f>AA37+AB37</f>
        <v>273</v>
      </c>
      <c r="AA37" s="161">
        <v>273</v>
      </c>
      <c r="AB37" s="161">
        <v>0</v>
      </c>
      <c r="AC37" s="161">
        <f>AD37+AE37</f>
        <v>272</v>
      </c>
      <c r="AD37" s="161">
        <v>272</v>
      </c>
      <c r="AE37" s="161">
        <v>0</v>
      </c>
      <c r="AF37" s="161">
        <f>AG37+AH37</f>
        <v>297</v>
      </c>
      <c r="AG37" s="161">
        <v>297</v>
      </c>
      <c r="AH37" s="161">
        <v>0</v>
      </c>
      <c r="AI37" s="161">
        <f>AJ37+AK37</f>
        <v>320</v>
      </c>
      <c r="AJ37" s="161">
        <v>320</v>
      </c>
      <c r="AK37" s="161">
        <v>0</v>
      </c>
      <c r="AL37" s="161">
        <f>AM37+AN37</f>
        <v>292</v>
      </c>
      <c r="AM37" s="161">
        <v>292</v>
      </c>
      <c r="AN37" s="161">
        <v>0</v>
      </c>
      <c r="AO37" s="161">
        <f>AP37+AQ37</f>
        <v>337</v>
      </c>
      <c r="AP37" s="161">
        <v>337</v>
      </c>
      <c r="AQ37" s="161">
        <v>0</v>
      </c>
      <c r="AR37" s="161">
        <f>AS37+AT37</f>
        <v>312</v>
      </c>
      <c r="AS37" s="161">
        <v>312</v>
      </c>
      <c r="AT37" s="161">
        <v>0</v>
      </c>
      <c r="AU37" s="161">
        <f>AV37+AW37</f>
        <v>360</v>
      </c>
      <c r="AV37" s="161">
        <v>360</v>
      </c>
      <c r="AW37" s="161">
        <v>0</v>
      </c>
      <c r="AX37" s="161">
        <f>AY37+AZ37</f>
        <v>447</v>
      </c>
      <c r="AY37" s="161">
        <v>447</v>
      </c>
      <c r="AZ37" s="161">
        <v>0</v>
      </c>
      <c r="BA37" s="161">
        <f>BB37+BC37</f>
        <v>505</v>
      </c>
      <c r="BB37" s="161">
        <v>505</v>
      </c>
      <c r="BC37" s="161">
        <v>0</v>
      </c>
      <c r="BD37" s="161">
        <f>BE37+BF37</f>
        <v>622</v>
      </c>
      <c r="BE37" s="161">
        <v>622</v>
      </c>
      <c r="BF37" s="161">
        <v>0</v>
      </c>
      <c r="BG37" s="161">
        <f>BH37+BI37</f>
        <v>671</v>
      </c>
      <c r="BH37" s="161">
        <v>671</v>
      </c>
      <c r="BI37" s="161">
        <v>0</v>
      </c>
      <c r="BJ37" s="161">
        <f>BK37+BL37</f>
        <v>646</v>
      </c>
      <c r="BK37" s="161">
        <v>646</v>
      </c>
      <c r="BL37" s="161">
        <v>0</v>
      </c>
      <c r="BM37" s="161">
        <f>BN37+BO37</f>
        <v>615</v>
      </c>
      <c r="BN37" s="161">
        <v>615</v>
      </c>
      <c r="BO37" s="161">
        <v>0</v>
      </c>
      <c r="BP37" s="161">
        <f>BQ37+BR37</f>
        <v>619</v>
      </c>
      <c r="BQ37" s="161">
        <v>619</v>
      </c>
      <c r="BR37" s="161">
        <v>0</v>
      </c>
      <c r="BS37" s="161">
        <f>BT37+BU37</f>
        <v>658</v>
      </c>
      <c r="BT37" s="161">
        <v>658</v>
      </c>
      <c r="BU37" s="161">
        <v>0</v>
      </c>
      <c r="BV37" s="161">
        <f>BW37+BX37</f>
        <v>633</v>
      </c>
      <c r="BW37" s="161">
        <v>633</v>
      </c>
      <c r="BX37" s="161">
        <v>0</v>
      </c>
      <c r="BY37" s="161">
        <f>BZ37+CA37</f>
        <v>661</v>
      </c>
      <c r="BZ37" s="161">
        <v>661</v>
      </c>
      <c r="CA37" s="161">
        <v>0</v>
      </c>
      <c r="CB37" s="161">
        <v>676</v>
      </c>
      <c r="CC37" s="161">
        <v>676</v>
      </c>
      <c r="CD37" s="161">
        <v>0</v>
      </c>
      <c r="CE37" s="161">
        <f>CF37+CG37</f>
        <v>677</v>
      </c>
      <c r="CF37" s="161">
        <v>677</v>
      </c>
      <c r="CG37" s="161">
        <v>0</v>
      </c>
      <c r="CH37" s="161">
        <f>CI37+CJ37</f>
        <v>560</v>
      </c>
      <c r="CI37" s="161">
        <v>560</v>
      </c>
      <c r="CJ37" s="161">
        <v>0</v>
      </c>
      <c r="CK37" s="161">
        <f>CL37+CM37</f>
        <v>223</v>
      </c>
      <c r="CL37" s="161">
        <v>223</v>
      </c>
      <c r="CM37" s="161">
        <v>0</v>
      </c>
      <c r="CN37" s="161">
        <f>CO37+CP37</f>
        <v>266</v>
      </c>
      <c r="CO37" s="161">
        <v>266</v>
      </c>
      <c r="CP37" s="161">
        <v>0</v>
      </c>
      <c r="CQ37" s="161">
        <f>CR37+CS37</f>
        <v>293</v>
      </c>
      <c r="CR37" s="161">
        <v>293</v>
      </c>
      <c r="CS37" s="161">
        <v>0</v>
      </c>
      <c r="CT37" s="161">
        <f>CU37+CV37</f>
        <v>312</v>
      </c>
      <c r="CU37" s="161">
        <v>312</v>
      </c>
      <c r="CV37" s="161">
        <v>0</v>
      </c>
      <c r="CW37" s="161">
        <f>CX37+CY37</f>
        <v>398</v>
      </c>
      <c r="CX37" s="161">
        <v>398</v>
      </c>
      <c r="CY37" s="161">
        <v>0</v>
      </c>
      <c r="CZ37" s="161">
        <f>DA37+DB37</f>
        <v>459</v>
      </c>
      <c r="DA37" s="161">
        <v>459</v>
      </c>
      <c r="DB37" s="161">
        <v>0</v>
      </c>
      <c r="DC37" s="161">
        <f>DD37+DE37</f>
        <v>529</v>
      </c>
      <c r="DD37" s="161">
        <v>529</v>
      </c>
      <c r="DE37" s="161">
        <v>0</v>
      </c>
      <c r="DF37" s="161">
        <f>DG37+DH37</f>
        <v>488</v>
      </c>
      <c r="DG37" s="161">
        <v>488</v>
      </c>
      <c r="DH37" s="161">
        <v>0</v>
      </c>
      <c r="DI37" s="161">
        <f>DJ37+DK37</f>
        <v>503</v>
      </c>
      <c r="DJ37" s="161">
        <v>503</v>
      </c>
      <c r="DK37" s="161">
        <v>0</v>
      </c>
      <c r="DL37" s="161">
        <v>473</v>
      </c>
      <c r="DM37" s="161">
        <v>473.322</v>
      </c>
      <c r="DN37" s="161">
        <v>0</v>
      </c>
      <c r="DO37" s="161">
        <f t="shared" si="100"/>
        <v>477</v>
      </c>
      <c r="DP37" s="161">
        <v>477</v>
      </c>
      <c r="DQ37" s="161">
        <v>0</v>
      </c>
      <c r="DR37" s="161">
        <f t="shared" si="63"/>
        <v>426</v>
      </c>
      <c r="DS37" s="161">
        <v>426</v>
      </c>
      <c r="DT37" s="161">
        <v>0</v>
      </c>
      <c r="DU37" s="161">
        <f t="shared" si="101"/>
        <v>429</v>
      </c>
      <c r="DV37" s="161">
        <v>429</v>
      </c>
      <c r="DW37" s="161">
        <v>0</v>
      </c>
      <c r="DX37" s="161">
        <v>400.84399999999999</v>
      </c>
      <c r="DY37" s="161">
        <v>400.84399999999999</v>
      </c>
      <c r="DZ37" s="161">
        <v>0</v>
      </c>
      <c r="EA37" s="377">
        <v>410</v>
      </c>
      <c r="EB37" s="377">
        <v>410</v>
      </c>
      <c r="EC37" s="377">
        <v>0</v>
      </c>
    </row>
    <row r="38" spans="1:133" s="164" customFormat="1" ht="15" customHeight="1" x14ac:dyDescent="0.2">
      <c r="A38" s="442" t="s">
        <v>618</v>
      </c>
      <c r="B38" s="160">
        <f>C38+D38</f>
        <v>61</v>
      </c>
      <c r="C38" s="160">
        <v>61</v>
      </c>
      <c r="D38" s="160">
        <v>0</v>
      </c>
      <c r="E38" s="160">
        <f>F38+G38</f>
        <v>63</v>
      </c>
      <c r="F38" s="160">
        <v>63</v>
      </c>
      <c r="G38" s="160">
        <v>0</v>
      </c>
      <c r="H38" s="161">
        <f>I38+J38</f>
        <v>177</v>
      </c>
      <c r="I38" s="161">
        <v>177</v>
      </c>
      <c r="J38" s="161">
        <v>0</v>
      </c>
      <c r="K38" s="161">
        <f>L38+M38</f>
        <v>156</v>
      </c>
      <c r="L38" s="161">
        <v>156</v>
      </c>
      <c r="M38" s="161">
        <v>0</v>
      </c>
      <c r="N38" s="161">
        <f>O38+P38</f>
        <v>159</v>
      </c>
      <c r="O38" s="161">
        <v>159</v>
      </c>
      <c r="P38" s="161">
        <v>0</v>
      </c>
      <c r="Q38" s="161">
        <f>R38+S38</f>
        <v>162</v>
      </c>
      <c r="R38" s="161">
        <v>162</v>
      </c>
      <c r="S38" s="161">
        <v>0</v>
      </c>
      <c r="T38" s="161">
        <f>U38+V38</f>
        <v>627</v>
      </c>
      <c r="U38" s="161">
        <v>627</v>
      </c>
      <c r="V38" s="161">
        <v>0</v>
      </c>
      <c r="W38" s="161">
        <f>X38+Y38</f>
        <v>321</v>
      </c>
      <c r="X38" s="161">
        <v>321</v>
      </c>
      <c r="Y38" s="161">
        <v>0</v>
      </c>
      <c r="Z38" s="161">
        <f>AA38+AB38</f>
        <v>337</v>
      </c>
      <c r="AA38" s="161">
        <v>337</v>
      </c>
      <c r="AB38" s="161">
        <v>0</v>
      </c>
      <c r="AC38" s="161">
        <f>AD38+AE38</f>
        <v>355</v>
      </c>
      <c r="AD38" s="161">
        <v>355</v>
      </c>
      <c r="AE38" s="161">
        <v>0</v>
      </c>
      <c r="AF38" s="161">
        <f>AG38+AH38</f>
        <v>360</v>
      </c>
      <c r="AG38" s="161">
        <v>360</v>
      </c>
      <c r="AH38" s="161">
        <v>0</v>
      </c>
      <c r="AI38" s="161">
        <f>AJ38+AK38</f>
        <v>798</v>
      </c>
      <c r="AJ38" s="161">
        <v>798</v>
      </c>
      <c r="AK38" s="161">
        <v>0</v>
      </c>
      <c r="AL38" s="161">
        <f>AM38+AN38</f>
        <v>817</v>
      </c>
      <c r="AM38" s="161">
        <v>817</v>
      </c>
      <c r="AN38" s="161">
        <v>0</v>
      </c>
      <c r="AO38" s="161">
        <f>AP38+AQ38</f>
        <v>678</v>
      </c>
      <c r="AP38" s="161">
        <v>678</v>
      </c>
      <c r="AQ38" s="161">
        <v>0</v>
      </c>
      <c r="AR38" s="161">
        <f>AS38+AT38</f>
        <v>683</v>
      </c>
      <c r="AS38" s="161">
        <v>683</v>
      </c>
      <c r="AT38" s="161">
        <v>0</v>
      </c>
      <c r="AU38" s="161">
        <f>AV38+AW38</f>
        <v>472</v>
      </c>
      <c r="AV38" s="161">
        <v>472</v>
      </c>
      <c r="AW38" s="161">
        <v>0</v>
      </c>
      <c r="AX38" s="161">
        <f>AY38+AZ38</f>
        <v>574</v>
      </c>
      <c r="AY38" s="161">
        <v>574</v>
      </c>
      <c r="AZ38" s="161">
        <v>0</v>
      </c>
      <c r="BA38" s="161">
        <f>BB38+BC38</f>
        <v>599</v>
      </c>
      <c r="BB38" s="161">
        <v>599</v>
      </c>
      <c r="BC38" s="161">
        <v>0</v>
      </c>
      <c r="BD38" s="161">
        <f>BE38+BF38</f>
        <v>613</v>
      </c>
      <c r="BE38" s="161">
        <v>613</v>
      </c>
      <c r="BF38" s="161">
        <v>0</v>
      </c>
      <c r="BG38" s="161">
        <f>BH38+BI38</f>
        <v>615</v>
      </c>
      <c r="BH38" s="161">
        <v>615</v>
      </c>
      <c r="BI38" s="161">
        <v>0</v>
      </c>
      <c r="BJ38" s="161">
        <f>BK38+BL38</f>
        <v>630</v>
      </c>
      <c r="BK38" s="161">
        <v>630</v>
      </c>
      <c r="BL38" s="161">
        <v>0</v>
      </c>
      <c r="BM38" s="161">
        <f>BN38+BO38</f>
        <v>587</v>
      </c>
      <c r="BN38" s="161">
        <v>587</v>
      </c>
      <c r="BO38" s="161">
        <v>0</v>
      </c>
      <c r="BP38" s="161">
        <f>BQ38+BR38</f>
        <v>586</v>
      </c>
      <c r="BQ38" s="161">
        <v>586</v>
      </c>
      <c r="BR38" s="161">
        <v>0</v>
      </c>
      <c r="BS38" s="161">
        <f>BT38+BU38</f>
        <v>588</v>
      </c>
      <c r="BT38" s="161">
        <v>588</v>
      </c>
      <c r="BU38" s="161">
        <v>0</v>
      </c>
      <c r="BV38" s="161">
        <f>BW38+BX38</f>
        <v>605</v>
      </c>
      <c r="BW38" s="161">
        <v>605</v>
      </c>
      <c r="BX38" s="161">
        <v>0</v>
      </c>
      <c r="BY38" s="161">
        <f>BZ38+CA38</f>
        <v>582</v>
      </c>
      <c r="BZ38" s="161">
        <v>582</v>
      </c>
      <c r="CA38" s="161">
        <v>0</v>
      </c>
      <c r="CB38" s="161">
        <v>592</v>
      </c>
      <c r="CC38" s="161">
        <v>592</v>
      </c>
      <c r="CD38" s="161">
        <v>0</v>
      </c>
      <c r="CE38" s="161">
        <f>CF38+CG38</f>
        <v>605</v>
      </c>
      <c r="CF38" s="161">
        <v>605</v>
      </c>
      <c r="CG38" s="161">
        <v>0</v>
      </c>
      <c r="CH38" s="161">
        <f>CI38+CJ38</f>
        <v>549</v>
      </c>
      <c r="CI38" s="161">
        <v>549</v>
      </c>
      <c r="CJ38" s="161">
        <v>0</v>
      </c>
      <c r="CK38" s="161">
        <f>CL38+CM38</f>
        <v>487</v>
      </c>
      <c r="CL38" s="161">
        <v>487</v>
      </c>
      <c r="CM38" s="161">
        <v>0</v>
      </c>
      <c r="CN38" s="161">
        <f>CO38+CP38</f>
        <v>490</v>
      </c>
      <c r="CO38" s="161">
        <v>490</v>
      </c>
      <c r="CP38" s="161">
        <v>0</v>
      </c>
      <c r="CQ38" s="161">
        <f>CR38+CS38</f>
        <v>393</v>
      </c>
      <c r="CR38" s="161">
        <v>393</v>
      </c>
      <c r="CS38" s="161">
        <v>0</v>
      </c>
      <c r="CT38" s="161">
        <f>CU38+CV38</f>
        <v>1500</v>
      </c>
      <c r="CU38" s="161">
        <v>1500</v>
      </c>
      <c r="CV38" s="161">
        <v>0</v>
      </c>
      <c r="CW38" s="161">
        <f>CX38+CY38</f>
        <v>1481</v>
      </c>
      <c r="CX38" s="161">
        <v>1481</v>
      </c>
      <c r="CY38" s="161">
        <v>0</v>
      </c>
      <c r="CZ38" s="161">
        <f>DA38+DB38</f>
        <v>1480</v>
      </c>
      <c r="DA38" s="161">
        <v>1480</v>
      </c>
      <c r="DB38" s="161">
        <v>0</v>
      </c>
      <c r="DC38" s="161">
        <f>DD38+DE38</f>
        <v>1486</v>
      </c>
      <c r="DD38" s="161">
        <v>1486</v>
      </c>
      <c r="DE38" s="161">
        <v>0</v>
      </c>
      <c r="DF38" s="161">
        <f>DG38+DH38</f>
        <v>1519</v>
      </c>
      <c r="DG38" s="161">
        <v>1519</v>
      </c>
      <c r="DH38" s="161">
        <v>0</v>
      </c>
      <c r="DI38" s="161">
        <f>DJ38+DK38</f>
        <v>1506</v>
      </c>
      <c r="DJ38" s="161">
        <v>1506</v>
      </c>
      <c r="DK38" s="161">
        <v>0</v>
      </c>
      <c r="DL38" s="161">
        <v>1527</v>
      </c>
      <c r="DM38" s="161">
        <v>1526.807</v>
      </c>
      <c r="DN38" s="161">
        <v>0</v>
      </c>
      <c r="DO38" s="161">
        <f t="shared" si="100"/>
        <v>1547</v>
      </c>
      <c r="DP38" s="161">
        <v>1547</v>
      </c>
      <c r="DQ38" s="161">
        <v>0</v>
      </c>
      <c r="DR38" s="161">
        <f t="shared" si="63"/>
        <v>1586</v>
      </c>
      <c r="DS38" s="161">
        <v>1586</v>
      </c>
      <c r="DT38" s="161">
        <v>0</v>
      </c>
      <c r="DU38" s="161">
        <f t="shared" si="101"/>
        <v>1571</v>
      </c>
      <c r="DV38" s="161">
        <v>1571</v>
      </c>
      <c r="DW38" s="161">
        <v>0</v>
      </c>
      <c r="DX38" s="161">
        <v>1666.771</v>
      </c>
      <c r="DY38" s="161">
        <v>1666.771</v>
      </c>
      <c r="DZ38" s="161">
        <v>0</v>
      </c>
      <c r="EA38" s="377">
        <v>1697</v>
      </c>
      <c r="EB38" s="377">
        <v>1697</v>
      </c>
      <c r="EC38" s="377">
        <v>0</v>
      </c>
    </row>
    <row r="39" spans="1:133" s="164" customFormat="1" ht="15" customHeight="1" x14ac:dyDescent="0.2">
      <c r="A39" s="442" t="s">
        <v>581</v>
      </c>
      <c r="B39" s="160">
        <f>C39+D39</f>
        <v>26029</v>
      </c>
      <c r="C39" s="160">
        <v>26029</v>
      </c>
      <c r="D39" s="160">
        <v>0</v>
      </c>
      <c r="E39" s="160">
        <f>F39+G39</f>
        <v>27515</v>
      </c>
      <c r="F39" s="160">
        <v>27515</v>
      </c>
      <c r="G39" s="160">
        <v>0</v>
      </c>
      <c r="H39" s="161">
        <f>I39+J39</f>
        <v>29214</v>
      </c>
      <c r="I39" s="161">
        <v>29214</v>
      </c>
      <c r="J39" s="161">
        <v>0</v>
      </c>
      <c r="K39" s="161">
        <f>L39+M39</f>
        <v>30357</v>
      </c>
      <c r="L39" s="161">
        <v>30357</v>
      </c>
      <c r="M39" s="161">
        <v>0</v>
      </c>
      <c r="N39" s="161">
        <f>O39+P39</f>
        <v>32909</v>
      </c>
      <c r="O39" s="161">
        <v>32909</v>
      </c>
      <c r="P39" s="161">
        <v>0</v>
      </c>
      <c r="Q39" s="161">
        <f>R39+S39</f>
        <v>33711</v>
      </c>
      <c r="R39" s="161">
        <v>33711</v>
      </c>
      <c r="S39" s="161">
        <v>0</v>
      </c>
      <c r="T39" s="161">
        <f>U39+V39</f>
        <v>34168</v>
      </c>
      <c r="U39" s="161">
        <v>34168</v>
      </c>
      <c r="V39" s="161">
        <v>0</v>
      </c>
      <c r="W39" s="161">
        <f>X39+Y39</f>
        <v>34257</v>
      </c>
      <c r="X39" s="161">
        <v>34257</v>
      </c>
      <c r="Y39" s="161">
        <v>0</v>
      </c>
      <c r="Z39" s="161">
        <f>AA39+AB39</f>
        <v>35306</v>
      </c>
      <c r="AA39" s="161">
        <v>35306</v>
      </c>
      <c r="AB39" s="161">
        <v>0</v>
      </c>
      <c r="AC39" s="161">
        <f>AD39+AE39</f>
        <v>37277</v>
      </c>
      <c r="AD39" s="161">
        <v>37277</v>
      </c>
      <c r="AE39" s="161">
        <v>0</v>
      </c>
      <c r="AF39" s="161">
        <f>AG39+AH39</f>
        <v>38877</v>
      </c>
      <c r="AG39" s="161">
        <v>38877</v>
      </c>
      <c r="AH39" s="161">
        <v>0</v>
      </c>
      <c r="AI39" s="161">
        <f>AJ39+AK39</f>
        <v>41754</v>
      </c>
      <c r="AJ39" s="161">
        <v>41754</v>
      </c>
      <c r="AK39" s="161">
        <v>0</v>
      </c>
      <c r="AL39" s="161">
        <f>AM39+AN39</f>
        <v>43087</v>
      </c>
      <c r="AM39" s="161">
        <v>43087</v>
      </c>
      <c r="AN39" s="161">
        <v>0</v>
      </c>
      <c r="AO39" s="161">
        <f>AP39+AQ39</f>
        <v>44295</v>
      </c>
      <c r="AP39" s="161">
        <v>44295</v>
      </c>
      <c r="AQ39" s="161">
        <v>0</v>
      </c>
      <c r="AR39" s="161">
        <f>AS39+AT39</f>
        <v>46114</v>
      </c>
      <c r="AS39" s="161">
        <v>46114</v>
      </c>
      <c r="AT39" s="161">
        <v>0</v>
      </c>
      <c r="AU39" s="161">
        <f>AV39+AW39</f>
        <v>48043</v>
      </c>
      <c r="AV39" s="161">
        <v>48043</v>
      </c>
      <c r="AW39" s="161">
        <v>0</v>
      </c>
      <c r="AX39" s="161">
        <f>AY39+AZ39</f>
        <v>51297</v>
      </c>
      <c r="AY39" s="161">
        <v>51297</v>
      </c>
      <c r="AZ39" s="161">
        <v>0</v>
      </c>
      <c r="BA39" s="161">
        <f>BB39+BC39</f>
        <v>52843</v>
      </c>
      <c r="BB39" s="161">
        <v>52843</v>
      </c>
      <c r="BC39" s="161">
        <v>0</v>
      </c>
      <c r="BD39" s="161">
        <f>BE39+BF39</f>
        <v>53742</v>
      </c>
      <c r="BE39" s="161">
        <v>53742</v>
      </c>
      <c r="BF39" s="161">
        <v>0</v>
      </c>
      <c r="BG39" s="161">
        <f>BH39+BI39</f>
        <v>55582</v>
      </c>
      <c r="BH39" s="161">
        <v>55582</v>
      </c>
      <c r="BI39" s="161">
        <v>0</v>
      </c>
      <c r="BJ39" s="161">
        <f>BK39+BL39</f>
        <v>58060</v>
      </c>
      <c r="BK39" s="161">
        <v>58060</v>
      </c>
      <c r="BL39" s="161">
        <v>0</v>
      </c>
      <c r="BM39" s="161">
        <f>BN39+BO39</f>
        <v>63920</v>
      </c>
      <c r="BN39" s="161">
        <v>63920</v>
      </c>
      <c r="BO39" s="161">
        <v>0</v>
      </c>
      <c r="BP39" s="161">
        <f>BQ39+BR39</f>
        <v>66047</v>
      </c>
      <c r="BQ39" s="161">
        <v>66047</v>
      </c>
      <c r="BR39" s="161">
        <v>0</v>
      </c>
      <c r="BS39" s="161">
        <f>BT39+BU39</f>
        <v>70047</v>
      </c>
      <c r="BT39" s="161">
        <v>70047</v>
      </c>
      <c r="BU39" s="161">
        <v>0</v>
      </c>
      <c r="BV39" s="161">
        <f>BW39+BX39</f>
        <v>69442</v>
      </c>
      <c r="BW39" s="161">
        <v>69442</v>
      </c>
      <c r="BX39" s="161">
        <v>0</v>
      </c>
      <c r="BY39" s="161">
        <f>BZ39+CA39</f>
        <v>66028</v>
      </c>
      <c r="BZ39" s="161">
        <v>66028</v>
      </c>
      <c r="CA39" s="161">
        <v>0</v>
      </c>
      <c r="CB39" s="161">
        <v>67033</v>
      </c>
      <c r="CC39" s="161">
        <v>67033</v>
      </c>
      <c r="CD39" s="161">
        <v>0</v>
      </c>
      <c r="CE39" s="161">
        <f>CF39+CG39</f>
        <v>70940</v>
      </c>
      <c r="CF39" s="161">
        <v>70940</v>
      </c>
      <c r="CG39" s="161">
        <v>0</v>
      </c>
      <c r="CH39" s="161">
        <f>CI39+CJ39</f>
        <v>73325</v>
      </c>
      <c r="CI39" s="161">
        <v>73325</v>
      </c>
      <c r="CJ39" s="161">
        <v>0</v>
      </c>
      <c r="CK39" s="161">
        <f>CL39+CM39</f>
        <v>76800</v>
      </c>
      <c r="CL39" s="161">
        <v>76800</v>
      </c>
      <c r="CM39" s="161">
        <v>0</v>
      </c>
      <c r="CN39" s="161">
        <f>CO39+CP39</f>
        <v>79242</v>
      </c>
      <c r="CO39" s="161">
        <v>79242</v>
      </c>
      <c r="CP39" s="161">
        <v>0</v>
      </c>
      <c r="CQ39" s="161">
        <f>CR39+CS39</f>
        <v>81508</v>
      </c>
      <c r="CR39" s="161">
        <v>81508</v>
      </c>
      <c r="CS39" s="161">
        <v>0</v>
      </c>
      <c r="CT39" s="161">
        <f>CU39+CV39</f>
        <v>83937</v>
      </c>
      <c r="CU39" s="161">
        <v>83937</v>
      </c>
      <c r="CV39" s="161">
        <v>0</v>
      </c>
      <c r="CW39" s="161">
        <f>CX39+CY39</f>
        <v>86972</v>
      </c>
      <c r="CX39" s="161">
        <v>86972</v>
      </c>
      <c r="CY39" s="161">
        <v>0</v>
      </c>
      <c r="CZ39" s="161">
        <f>DA39+DB39</f>
        <v>86233</v>
      </c>
      <c r="DA39" s="161">
        <v>86233</v>
      </c>
      <c r="DB39" s="161">
        <v>0</v>
      </c>
      <c r="DC39" s="161">
        <f>DD39+DE39</f>
        <v>88906</v>
      </c>
      <c r="DD39" s="161">
        <v>88906</v>
      </c>
      <c r="DE39" s="161">
        <v>0</v>
      </c>
      <c r="DF39" s="161">
        <f>DG39+DH39</f>
        <v>93330</v>
      </c>
      <c r="DG39" s="161">
        <v>93330</v>
      </c>
      <c r="DH39" s="161">
        <v>0</v>
      </c>
      <c r="DI39" s="161">
        <f>DJ39+DK39</f>
        <v>96358</v>
      </c>
      <c r="DJ39" s="161">
        <v>96358</v>
      </c>
      <c r="DK39" s="161">
        <v>0</v>
      </c>
      <c r="DL39" s="161">
        <v>98550</v>
      </c>
      <c r="DM39" s="161">
        <v>98549.887000000002</v>
      </c>
      <c r="DN39" s="161">
        <v>0</v>
      </c>
      <c r="DO39" s="161">
        <f t="shared" si="100"/>
        <v>100443</v>
      </c>
      <c r="DP39" s="161">
        <v>100443</v>
      </c>
      <c r="DQ39" s="161">
        <v>0</v>
      </c>
      <c r="DR39" s="161">
        <f t="shared" si="63"/>
        <v>104558</v>
      </c>
      <c r="DS39" s="161">
        <v>104558</v>
      </c>
      <c r="DT39" s="161">
        <v>0</v>
      </c>
      <c r="DU39" s="161">
        <f t="shared" si="101"/>
        <v>106807</v>
      </c>
      <c r="DV39" s="161">
        <v>106807</v>
      </c>
      <c r="DW39" s="161">
        <v>0</v>
      </c>
      <c r="DX39" s="161">
        <v>110300.602</v>
      </c>
      <c r="DY39" s="161">
        <v>110300.602</v>
      </c>
      <c r="DZ39" s="161">
        <v>0</v>
      </c>
      <c r="EA39" s="377">
        <v>110457</v>
      </c>
      <c r="EB39" s="377">
        <v>110457</v>
      </c>
      <c r="EC39" s="377">
        <v>0</v>
      </c>
    </row>
    <row r="40" spans="1:133" s="164" customFormat="1" ht="5.0999999999999996" customHeight="1" x14ac:dyDescent="0.2">
      <c r="A40" s="160"/>
      <c r="B40" s="160"/>
      <c r="C40" s="160"/>
      <c r="D40" s="160"/>
      <c r="E40" s="160"/>
      <c r="F40" s="160"/>
      <c r="G40" s="160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1"/>
      <c r="X40" s="161"/>
      <c r="Y40" s="161"/>
      <c r="Z40" s="161"/>
      <c r="AA40" s="161"/>
      <c r="AB40" s="161"/>
      <c r="AC40" s="161"/>
      <c r="AD40" s="161"/>
      <c r="AE40" s="161"/>
      <c r="AF40" s="161"/>
      <c r="AG40" s="161"/>
      <c r="AH40" s="161"/>
      <c r="AI40" s="161"/>
      <c r="AJ40" s="161"/>
      <c r="AK40" s="161"/>
      <c r="AL40" s="161"/>
      <c r="AM40" s="161"/>
      <c r="AN40" s="161"/>
      <c r="AO40" s="161"/>
      <c r="AP40" s="161"/>
      <c r="AQ40" s="161"/>
      <c r="AR40" s="161"/>
      <c r="AS40" s="161"/>
      <c r="AT40" s="161"/>
      <c r="AU40" s="161"/>
      <c r="AV40" s="161"/>
      <c r="AW40" s="161"/>
      <c r="AX40" s="161"/>
      <c r="AY40" s="161"/>
      <c r="AZ40" s="161"/>
      <c r="BA40" s="161"/>
      <c r="BB40" s="161"/>
      <c r="BC40" s="161"/>
      <c r="BD40" s="161"/>
      <c r="BE40" s="161"/>
      <c r="BF40" s="161"/>
      <c r="BG40" s="161"/>
      <c r="BH40" s="161"/>
      <c r="BI40" s="161"/>
      <c r="BJ40" s="161"/>
      <c r="BK40" s="161"/>
      <c r="BL40" s="161"/>
      <c r="BM40" s="161"/>
      <c r="BN40" s="161"/>
      <c r="BO40" s="161"/>
      <c r="BP40" s="161"/>
      <c r="BQ40" s="161"/>
      <c r="BR40" s="161"/>
      <c r="BS40" s="161"/>
      <c r="BT40" s="161"/>
      <c r="BU40" s="161"/>
      <c r="BV40" s="161"/>
      <c r="BW40" s="161"/>
      <c r="BX40" s="161"/>
      <c r="BY40" s="161"/>
      <c r="BZ40" s="161"/>
      <c r="CA40" s="161"/>
      <c r="CB40" s="161"/>
      <c r="CC40" s="161"/>
      <c r="CD40" s="161"/>
      <c r="CE40" s="161"/>
      <c r="CF40" s="161"/>
      <c r="CG40" s="161"/>
      <c r="CH40" s="161"/>
      <c r="CI40" s="161"/>
      <c r="CJ40" s="161"/>
      <c r="CK40" s="161"/>
      <c r="CL40" s="161"/>
      <c r="CM40" s="161"/>
      <c r="CN40" s="161"/>
      <c r="CO40" s="161"/>
      <c r="CP40" s="161"/>
      <c r="CQ40" s="161"/>
      <c r="CR40" s="161"/>
      <c r="CS40" s="161"/>
      <c r="CT40" s="161"/>
      <c r="CU40" s="161"/>
      <c r="CV40" s="161"/>
      <c r="CW40" s="161"/>
      <c r="CX40" s="161"/>
      <c r="CY40" s="161"/>
      <c r="CZ40" s="161"/>
      <c r="DA40" s="161"/>
      <c r="DB40" s="161"/>
      <c r="DC40" s="161"/>
      <c r="DD40" s="161"/>
      <c r="DE40" s="161"/>
      <c r="DF40" s="161"/>
      <c r="DG40" s="161"/>
      <c r="DH40" s="161"/>
      <c r="DI40" s="161"/>
      <c r="DJ40" s="161"/>
      <c r="DK40" s="161"/>
      <c r="DL40" s="161"/>
      <c r="DM40" s="161"/>
      <c r="DN40" s="161"/>
      <c r="DO40" s="161"/>
      <c r="DP40" s="161"/>
      <c r="DQ40" s="161"/>
      <c r="DR40" s="161"/>
      <c r="DS40" s="161"/>
      <c r="DT40" s="161"/>
      <c r="DU40" s="376"/>
      <c r="DV40" s="376"/>
      <c r="DW40" s="376"/>
      <c r="DX40" s="376"/>
      <c r="DY40" s="376"/>
      <c r="DZ40" s="376"/>
      <c r="EA40" s="376"/>
      <c r="EB40" s="376"/>
      <c r="EC40" s="376"/>
    </row>
    <row r="41" spans="1:133" s="178" customFormat="1" ht="15" customHeight="1" thickBot="1" x14ac:dyDescent="0.25">
      <c r="A41" s="175" t="s">
        <v>10</v>
      </c>
      <c r="B41" s="176">
        <f t="shared" ref="B41:J41" si="102">B26+B37+B38+B39</f>
        <v>281945</v>
      </c>
      <c r="C41" s="176">
        <f t="shared" si="102"/>
        <v>257782</v>
      </c>
      <c r="D41" s="176">
        <f t="shared" si="102"/>
        <v>24163</v>
      </c>
      <c r="E41" s="176">
        <f t="shared" si="102"/>
        <v>290569</v>
      </c>
      <c r="F41" s="176">
        <f t="shared" si="102"/>
        <v>271291</v>
      </c>
      <c r="G41" s="176">
        <f t="shared" si="102"/>
        <v>19278</v>
      </c>
      <c r="H41" s="176">
        <f t="shared" si="102"/>
        <v>317647</v>
      </c>
      <c r="I41" s="176">
        <f t="shared" si="102"/>
        <v>298158</v>
      </c>
      <c r="J41" s="176">
        <f t="shared" si="102"/>
        <v>19489</v>
      </c>
      <c r="K41" s="176">
        <f t="shared" ref="K41:AP41" si="103">K26+K37+K38+K39</f>
        <v>341144</v>
      </c>
      <c r="L41" s="176">
        <f t="shared" si="103"/>
        <v>318736</v>
      </c>
      <c r="M41" s="176">
        <f t="shared" si="103"/>
        <v>22508</v>
      </c>
      <c r="N41" s="176">
        <f t="shared" si="103"/>
        <v>355471</v>
      </c>
      <c r="O41" s="176">
        <f t="shared" si="103"/>
        <v>331275</v>
      </c>
      <c r="P41" s="176">
        <f t="shared" si="103"/>
        <v>24196</v>
      </c>
      <c r="Q41" s="176">
        <f t="shared" si="103"/>
        <v>403232</v>
      </c>
      <c r="R41" s="176">
        <f t="shared" si="103"/>
        <v>380815</v>
      </c>
      <c r="S41" s="176">
        <f t="shared" si="103"/>
        <v>22417</v>
      </c>
      <c r="T41" s="176">
        <f t="shared" si="103"/>
        <v>422662</v>
      </c>
      <c r="U41" s="176">
        <f t="shared" si="103"/>
        <v>386900</v>
      </c>
      <c r="V41" s="176">
        <f t="shared" si="103"/>
        <v>35762</v>
      </c>
      <c r="W41" s="176">
        <f t="shared" si="103"/>
        <v>454413</v>
      </c>
      <c r="X41" s="176">
        <f t="shared" si="103"/>
        <v>412989</v>
      </c>
      <c r="Y41" s="176">
        <f t="shared" si="103"/>
        <v>41424</v>
      </c>
      <c r="Z41" s="176">
        <f t="shared" si="103"/>
        <v>482141</v>
      </c>
      <c r="AA41" s="176">
        <f t="shared" si="103"/>
        <v>435742</v>
      </c>
      <c r="AB41" s="176">
        <f t="shared" si="103"/>
        <v>46399</v>
      </c>
      <c r="AC41" s="176">
        <f t="shared" si="103"/>
        <v>482478</v>
      </c>
      <c r="AD41" s="176">
        <f t="shared" si="103"/>
        <v>449057</v>
      </c>
      <c r="AE41" s="176">
        <f t="shared" si="103"/>
        <v>33421</v>
      </c>
      <c r="AF41" s="176">
        <f t="shared" si="103"/>
        <v>485685</v>
      </c>
      <c r="AG41" s="176">
        <f t="shared" si="103"/>
        <v>457761</v>
      </c>
      <c r="AH41" s="176">
        <f t="shared" si="103"/>
        <v>27924</v>
      </c>
      <c r="AI41" s="176">
        <f t="shared" si="103"/>
        <v>506223</v>
      </c>
      <c r="AJ41" s="176">
        <f t="shared" si="103"/>
        <v>478969</v>
      </c>
      <c r="AK41" s="176">
        <f t="shared" si="103"/>
        <v>27254</v>
      </c>
      <c r="AL41" s="176">
        <f t="shared" si="103"/>
        <v>532626</v>
      </c>
      <c r="AM41" s="176">
        <f t="shared" si="103"/>
        <v>503522</v>
      </c>
      <c r="AN41" s="176">
        <f t="shared" si="103"/>
        <v>29104</v>
      </c>
      <c r="AO41" s="176">
        <f t="shared" si="103"/>
        <v>558100</v>
      </c>
      <c r="AP41" s="176">
        <f t="shared" si="103"/>
        <v>528408</v>
      </c>
      <c r="AQ41" s="176">
        <f t="shared" ref="AQ41:BV41" si="104">AQ26+AQ37+AQ38+AQ39</f>
        <v>29692</v>
      </c>
      <c r="AR41" s="176">
        <f t="shared" si="104"/>
        <v>611903</v>
      </c>
      <c r="AS41" s="176">
        <f t="shared" si="104"/>
        <v>569313</v>
      </c>
      <c r="AT41" s="176">
        <f t="shared" si="104"/>
        <v>42590</v>
      </c>
      <c r="AU41" s="176">
        <f t="shared" si="104"/>
        <v>637485</v>
      </c>
      <c r="AV41" s="176">
        <f t="shared" si="104"/>
        <v>601673</v>
      </c>
      <c r="AW41" s="176">
        <f t="shared" si="104"/>
        <v>35812</v>
      </c>
      <c r="AX41" s="176">
        <f t="shared" si="104"/>
        <v>675387</v>
      </c>
      <c r="AY41" s="176">
        <f t="shared" si="104"/>
        <v>629000</v>
      </c>
      <c r="AZ41" s="176">
        <f t="shared" si="104"/>
        <v>46387</v>
      </c>
      <c r="BA41" s="176">
        <f t="shared" si="104"/>
        <v>689307</v>
      </c>
      <c r="BB41" s="176">
        <f t="shared" si="104"/>
        <v>638275</v>
      </c>
      <c r="BC41" s="176">
        <f t="shared" si="104"/>
        <v>51032</v>
      </c>
      <c r="BD41" s="176">
        <f t="shared" si="104"/>
        <v>722289</v>
      </c>
      <c r="BE41" s="176">
        <f t="shared" si="104"/>
        <v>660456</v>
      </c>
      <c r="BF41" s="176">
        <f t="shared" si="104"/>
        <v>61833</v>
      </c>
      <c r="BG41" s="176">
        <f t="shared" si="104"/>
        <v>761532</v>
      </c>
      <c r="BH41" s="176">
        <f t="shared" si="104"/>
        <v>701420</v>
      </c>
      <c r="BI41" s="176">
        <f t="shared" si="104"/>
        <v>60112</v>
      </c>
      <c r="BJ41" s="176">
        <f t="shared" si="104"/>
        <v>789550</v>
      </c>
      <c r="BK41" s="176">
        <f t="shared" si="104"/>
        <v>728316</v>
      </c>
      <c r="BL41" s="176">
        <f t="shared" si="104"/>
        <v>61234</v>
      </c>
      <c r="BM41" s="176">
        <f t="shared" si="104"/>
        <v>830520</v>
      </c>
      <c r="BN41" s="176">
        <f t="shared" si="104"/>
        <v>762559</v>
      </c>
      <c r="BO41" s="176">
        <f t="shared" si="104"/>
        <v>67961</v>
      </c>
      <c r="BP41" s="176">
        <f t="shared" si="104"/>
        <v>856288</v>
      </c>
      <c r="BQ41" s="176">
        <f t="shared" si="104"/>
        <v>788865</v>
      </c>
      <c r="BR41" s="176">
        <f t="shared" si="104"/>
        <v>67423</v>
      </c>
      <c r="BS41" s="176">
        <f t="shared" si="104"/>
        <v>879092</v>
      </c>
      <c r="BT41" s="176">
        <f t="shared" si="104"/>
        <v>813505</v>
      </c>
      <c r="BU41" s="176">
        <f t="shared" si="104"/>
        <v>65587</v>
      </c>
      <c r="BV41" s="176">
        <f t="shared" si="104"/>
        <v>894467</v>
      </c>
      <c r="BW41" s="176">
        <f t="shared" ref="BW41:DB41" si="105">BW26+BW37+BW38+BW39</f>
        <v>830843</v>
      </c>
      <c r="BX41" s="176">
        <f t="shared" si="105"/>
        <v>63624</v>
      </c>
      <c r="BY41" s="176">
        <f t="shared" si="105"/>
        <v>896697</v>
      </c>
      <c r="BZ41" s="176">
        <f t="shared" si="105"/>
        <v>829920</v>
      </c>
      <c r="CA41" s="176">
        <f t="shared" si="105"/>
        <v>66777</v>
      </c>
      <c r="CB41" s="176">
        <f t="shared" si="105"/>
        <v>907694</v>
      </c>
      <c r="CC41" s="176">
        <f t="shared" si="105"/>
        <v>836440</v>
      </c>
      <c r="CD41" s="176">
        <f t="shared" si="105"/>
        <v>71254</v>
      </c>
      <c r="CE41" s="176">
        <f t="shared" si="105"/>
        <v>908139</v>
      </c>
      <c r="CF41" s="176">
        <f t="shared" si="105"/>
        <v>836190</v>
      </c>
      <c r="CG41" s="176">
        <f t="shared" si="105"/>
        <v>71949</v>
      </c>
      <c r="CH41" s="176">
        <f t="shared" si="105"/>
        <v>922229</v>
      </c>
      <c r="CI41" s="176">
        <f t="shared" si="105"/>
        <v>845898</v>
      </c>
      <c r="CJ41" s="176">
        <f t="shared" si="105"/>
        <v>76331</v>
      </c>
      <c r="CK41" s="176">
        <f t="shared" si="105"/>
        <v>931132</v>
      </c>
      <c r="CL41" s="176">
        <f t="shared" si="105"/>
        <v>863936</v>
      </c>
      <c r="CM41" s="176">
        <f t="shared" si="105"/>
        <v>67196</v>
      </c>
      <c r="CN41" s="176">
        <f t="shared" si="105"/>
        <v>987365</v>
      </c>
      <c r="CO41" s="176">
        <f t="shared" si="105"/>
        <v>912826</v>
      </c>
      <c r="CP41" s="176">
        <f t="shared" si="105"/>
        <v>74539</v>
      </c>
      <c r="CQ41" s="176">
        <f t="shared" si="105"/>
        <v>1032040</v>
      </c>
      <c r="CR41" s="176">
        <f t="shared" si="105"/>
        <v>953260</v>
      </c>
      <c r="CS41" s="176">
        <f t="shared" si="105"/>
        <v>78780</v>
      </c>
      <c r="CT41" s="176">
        <f t="shared" si="105"/>
        <v>1034814</v>
      </c>
      <c r="CU41" s="176">
        <f t="shared" si="105"/>
        <v>941519</v>
      </c>
      <c r="CV41" s="176">
        <f t="shared" si="105"/>
        <v>93295</v>
      </c>
      <c r="CW41" s="176">
        <f t="shared" si="105"/>
        <v>1029762</v>
      </c>
      <c r="CX41" s="176">
        <f t="shared" si="105"/>
        <v>943613</v>
      </c>
      <c r="CY41" s="176">
        <f t="shared" si="105"/>
        <v>86149</v>
      </c>
      <c r="CZ41" s="176">
        <f t="shared" si="105"/>
        <v>1050983</v>
      </c>
      <c r="DA41" s="176">
        <f t="shared" si="105"/>
        <v>937421</v>
      </c>
      <c r="DB41" s="176">
        <f t="shared" si="105"/>
        <v>113562</v>
      </c>
      <c r="DC41" s="176">
        <f t="shared" ref="DC41:DH41" si="106">DC26+DC37+DC38+DC39</f>
        <v>1079753</v>
      </c>
      <c r="DD41" s="176">
        <f t="shared" si="106"/>
        <v>983625</v>
      </c>
      <c r="DE41" s="176">
        <f t="shared" si="106"/>
        <v>96128</v>
      </c>
      <c r="DF41" s="176">
        <f t="shared" si="106"/>
        <v>1101761.7820000001</v>
      </c>
      <c r="DG41" s="176">
        <f t="shared" si="106"/>
        <v>1007211.985</v>
      </c>
      <c r="DH41" s="176">
        <f t="shared" si="106"/>
        <v>94549.797000000006</v>
      </c>
      <c r="DI41" s="176">
        <f t="shared" ref="DI41:DQ41" si="107">DI26+DI37+DI38+DI39</f>
        <v>1105243.9709999999</v>
      </c>
      <c r="DJ41" s="176">
        <f t="shared" si="107"/>
        <v>1009525.2119999999</v>
      </c>
      <c r="DK41" s="176">
        <f t="shared" si="107"/>
        <v>95718.758999999991</v>
      </c>
      <c r="DL41" s="176">
        <f t="shared" si="107"/>
        <v>1270139</v>
      </c>
      <c r="DM41" s="176">
        <f t="shared" si="107"/>
        <v>1180229.909</v>
      </c>
      <c r="DN41" s="176">
        <f t="shared" si="107"/>
        <v>89909.054999999993</v>
      </c>
      <c r="DO41" s="176">
        <f t="shared" si="100"/>
        <v>1293559.4250000003</v>
      </c>
      <c r="DP41" s="176">
        <f t="shared" si="107"/>
        <v>1217717.2200000002</v>
      </c>
      <c r="DQ41" s="176">
        <f t="shared" si="107"/>
        <v>75842.205000000016</v>
      </c>
      <c r="DR41" s="176">
        <f t="shared" ref="DR41" si="108">DS41+DT41</f>
        <v>1294139</v>
      </c>
      <c r="DS41" s="176">
        <f t="shared" ref="DS41:DT41" si="109">DS26+DS37+DS38+DS39</f>
        <v>1219967</v>
      </c>
      <c r="DT41" s="176">
        <f t="shared" si="109"/>
        <v>74172</v>
      </c>
      <c r="DU41" s="375">
        <f t="shared" ref="DU41" si="110">DV41+DW41</f>
        <v>1291184</v>
      </c>
      <c r="DV41" s="375">
        <f t="shared" ref="DV41:DW41" si="111">DV26+DV37+DV38+DV39</f>
        <v>1221963</v>
      </c>
      <c r="DW41" s="375">
        <f t="shared" si="111"/>
        <v>69221</v>
      </c>
      <c r="DX41" s="375">
        <f t="shared" ref="DX41" si="112">DY41+DZ41</f>
        <v>1311671.8330000001</v>
      </c>
      <c r="DY41" s="375">
        <f t="shared" ref="DY41:DZ41" si="113">DY26+DY37+DY38+DY39</f>
        <v>1246484.0140000002</v>
      </c>
      <c r="DZ41" s="375">
        <f t="shared" si="113"/>
        <v>65187.818999999996</v>
      </c>
      <c r="EA41" s="375">
        <f t="shared" ref="EA41" si="114">EB41+EC41</f>
        <v>1298328</v>
      </c>
      <c r="EB41" s="375">
        <f t="shared" ref="EB41:EC41" si="115">EB26+EB37+EB38+EB39</f>
        <v>1235256</v>
      </c>
      <c r="EC41" s="375">
        <f t="shared" si="115"/>
        <v>63072</v>
      </c>
    </row>
    <row r="42" spans="1:133" s="88" customFormat="1" ht="4.5" customHeight="1" thickTop="1" x14ac:dyDescent="0.2">
      <c r="A42" s="16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2"/>
      <c r="AE42" s="122"/>
      <c r="AF42" s="122"/>
      <c r="AG42" s="122"/>
      <c r="AH42" s="122"/>
      <c r="AI42" s="122"/>
      <c r="AJ42" s="122"/>
      <c r="AK42" s="122"/>
      <c r="AL42" s="122"/>
      <c r="AM42" s="122"/>
      <c r="AN42" s="122"/>
      <c r="AO42" s="122"/>
      <c r="AP42" s="122"/>
      <c r="AQ42" s="122"/>
      <c r="AR42" s="122"/>
      <c r="AS42" s="122"/>
      <c r="AT42" s="122"/>
      <c r="AU42" s="122"/>
      <c r="AV42" s="122"/>
      <c r="AW42" s="122"/>
      <c r="AX42" s="122"/>
      <c r="AY42" s="122"/>
      <c r="AZ42" s="122"/>
      <c r="BA42" s="122"/>
      <c r="BB42" s="122"/>
      <c r="BC42" s="122"/>
      <c r="BD42" s="122"/>
      <c r="BE42" s="122"/>
      <c r="BF42" s="122"/>
      <c r="BG42" s="122"/>
      <c r="BH42" s="122"/>
      <c r="BI42" s="122"/>
      <c r="BJ42" s="122"/>
      <c r="BK42" s="122"/>
      <c r="BL42" s="122"/>
      <c r="BM42" s="122"/>
      <c r="BN42" s="122"/>
      <c r="BO42" s="122"/>
      <c r="BP42" s="122"/>
      <c r="BQ42" s="122"/>
      <c r="BR42" s="122"/>
      <c r="BS42" s="122"/>
      <c r="BT42" s="122"/>
      <c r="BU42" s="122"/>
      <c r="BV42" s="122"/>
      <c r="BW42" s="122"/>
      <c r="BX42" s="122"/>
      <c r="BY42" s="122"/>
      <c r="BZ42" s="122"/>
      <c r="CA42" s="122"/>
      <c r="CB42" s="122"/>
      <c r="CC42" s="122"/>
      <c r="CD42" s="122"/>
      <c r="CE42" s="122"/>
      <c r="CF42" s="122"/>
      <c r="CG42" s="122"/>
      <c r="CH42" s="122"/>
      <c r="CI42" s="122"/>
      <c r="CJ42" s="122"/>
      <c r="CK42" s="122"/>
      <c r="CL42" s="122"/>
      <c r="CM42" s="122"/>
      <c r="CN42" s="122"/>
      <c r="CO42" s="122"/>
      <c r="CP42" s="122"/>
      <c r="CQ42" s="122"/>
      <c r="CR42" s="122"/>
      <c r="CS42" s="122"/>
      <c r="CT42" s="122"/>
      <c r="CU42" s="122"/>
      <c r="CV42" s="122"/>
      <c r="CW42" s="122"/>
      <c r="CX42" s="122"/>
      <c r="CY42" s="122"/>
      <c r="CZ42" s="122"/>
      <c r="DA42" s="122"/>
      <c r="DB42" s="122"/>
      <c r="DC42" s="122"/>
      <c r="DD42" s="122"/>
      <c r="DE42" s="122"/>
      <c r="DF42" s="122"/>
      <c r="DG42" s="122"/>
      <c r="DH42" s="122"/>
      <c r="DI42" s="122"/>
      <c r="DJ42" s="122"/>
      <c r="DK42" s="122"/>
      <c r="DL42" s="122"/>
      <c r="DM42" s="122"/>
      <c r="DN42" s="122"/>
      <c r="DO42" s="122"/>
      <c r="DP42" s="122"/>
      <c r="DQ42" s="122"/>
      <c r="DR42" s="122"/>
      <c r="DS42" s="122"/>
      <c r="DT42" s="122"/>
      <c r="DU42" s="376"/>
      <c r="DV42" s="376"/>
      <c r="DW42" s="376"/>
      <c r="DX42" s="376"/>
      <c r="DY42" s="376"/>
      <c r="DZ42" s="376"/>
      <c r="EA42" s="376"/>
      <c r="EB42" s="376"/>
      <c r="EC42" s="376"/>
    </row>
    <row r="43" spans="1:133" s="178" customFormat="1" ht="15" customHeight="1" thickBot="1" x14ac:dyDescent="0.25">
      <c r="A43" s="175" t="s">
        <v>600</v>
      </c>
      <c r="B43" s="176"/>
      <c r="C43" s="176"/>
      <c r="D43" s="176">
        <f>D23-D41</f>
        <v>5202</v>
      </c>
      <c r="E43" s="176"/>
      <c r="F43" s="176"/>
      <c r="G43" s="176">
        <f>G23-G41</f>
        <v>9425</v>
      </c>
      <c r="H43" s="176"/>
      <c r="I43" s="176"/>
      <c r="J43" s="176">
        <f>J23-J41</f>
        <v>9335</v>
      </c>
      <c r="K43" s="176"/>
      <c r="L43" s="176"/>
      <c r="M43" s="176">
        <f>M23-M41</f>
        <v>9100</v>
      </c>
      <c r="N43" s="176"/>
      <c r="O43" s="176"/>
      <c r="P43" s="176">
        <f>P23-P41</f>
        <v>10270</v>
      </c>
      <c r="Q43" s="176"/>
      <c r="R43" s="176"/>
      <c r="S43" s="176">
        <f>S23-S41</f>
        <v>9630</v>
      </c>
      <c r="T43" s="176"/>
      <c r="U43" s="176"/>
      <c r="V43" s="176">
        <f>V23-V41</f>
        <v>6416</v>
      </c>
      <c r="W43" s="176"/>
      <c r="X43" s="176"/>
      <c r="Y43" s="176">
        <f>Y23-Y41</f>
        <v>7616</v>
      </c>
      <c r="Z43" s="176"/>
      <c r="AA43" s="176"/>
      <c r="AB43" s="176">
        <f>AB23-AB41</f>
        <v>6489</v>
      </c>
      <c r="AC43" s="176"/>
      <c r="AD43" s="176"/>
      <c r="AE43" s="176">
        <f>AE23-AE41</f>
        <v>6937</v>
      </c>
      <c r="AF43" s="176"/>
      <c r="AG43" s="176"/>
      <c r="AH43" s="176">
        <f>AH23-AH41</f>
        <v>7832</v>
      </c>
      <c r="AI43" s="176"/>
      <c r="AJ43" s="176"/>
      <c r="AK43" s="176">
        <f>AK23-AK41</f>
        <v>7768</v>
      </c>
      <c r="AL43" s="176"/>
      <c r="AM43" s="176"/>
      <c r="AN43" s="176">
        <f>AN23-AN41</f>
        <v>8680</v>
      </c>
      <c r="AO43" s="176"/>
      <c r="AP43" s="176"/>
      <c r="AQ43" s="176">
        <f>AQ23-AQ41</f>
        <v>7724</v>
      </c>
      <c r="AR43" s="176"/>
      <c r="AS43" s="176"/>
      <c r="AT43" s="176">
        <f>AT23-AT41</f>
        <v>-201</v>
      </c>
      <c r="AU43" s="176"/>
      <c r="AV43" s="176"/>
      <c r="AW43" s="176">
        <f>AW23-AW41</f>
        <v>1002</v>
      </c>
      <c r="AX43" s="176"/>
      <c r="AY43" s="176"/>
      <c r="AZ43" s="176">
        <f>AZ23-AZ41</f>
        <v>-3858</v>
      </c>
      <c r="BA43" s="176"/>
      <c r="BB43" s="176"/>
      <c r="BC43" s="176">
        <f>BC23-BC41</f>
        <v>-6242</v>
      </c>
      <c r="BD43" s="176"/>
      <c r="BE43" s="176"/>
      <c r="BF43" s="176">
        <f>BF23-BF41</f>
        <v>-8678</v>
      </c>
      <c r="BG43" s="176"/>
      <c r="BH43" s="176"/>
      <c r="BI43" s="176">
        <f>BI23-BI41</f>
        <v>-8267</v>
      </c>
      <c r="BJ43" s="176"/>
      <c r="BK43" s="176"/>
      <c r="BL43" s="176">
        <f>BL23-BL41</f>
        <v>-8231</v>
      </c>
      <c r="BM43" s="176"/>
      <c r="BN43" s="176"/>
      <c r="BO43" s="176">
        <f>BO23-BO41</f>
        <v>-12122</v>
      </c>
      <c r="BP43" s="176"/>
      <c r="BQ43" s="176"/>
      <c r="BR43" s="176">
        <f>BR23-BR41</f>
        <v>-11790</v>
      </c>
      <c r="BS43" s="176"/>
      <c r="BT43" s="176"/>
      <c r="BU43" s="176">
        <f>BU23-BU41</f>
        <v>-13763</v>
      </c>
      <c r="BV43" s="176"/>
      <c r="BW43" s="176"/>
      <c r="BX43" s="176">
        <f>BX23-BX41</f>
        <v>-11473</v>
      </c>
      <c r="BY43" s="176"/>
      <c r="BZ43" s="176"/>
      <c r="CA43" s="176">
        <f>CA23-CA41</f>
        <v>-9551</v>
      </c>
      <c r="CB43" s="176"/>
      <c r="CC43" s="176"/>
      <c r="CD43" s="176">
        <f>CD23-CD41</f>
        <v>-12524</v>
      </c>
      <c r="CE43" s="176"/>
      <c r="CF43" s="176"/>
      <c r="CG43" s="176">
        <f>CG23-CG41</f>
        <v>-11046</v>
      </c>
      <c r="CH43" s="176"/>
      <c r="CI43" s="176"/>
      <c r="CJ43" s="176">
        <f>CJ23-CJ41</f>
        <v>-9347</v>
      </c>
      <c r="CK43" s="176"/>
      <c r="CL43" s="176"/>
      <c r="CM43" s="176">
        <f>CM23-CM41</f>
        <v>-8203</v>
      </c>
      <c r="CN43" s="176"/>
      <c r="CO43" s="176"/>
      <c r="CP43" s="176">
        <f>CP23-CP41</f>
        <v>-11637</v>
      </c>
      <c r="CQ43" s="176"/>
      <c r="CR43" s="176"/>
      <c r="CS43" s="176">
        <f>CS23-CS41</f>
        <v>-12886</v>
      </c>
      <c r="CT43" s="176"/>
      <c r="CU43" s="176"/>
      <c r="CV43" s="176">
        <f>CV23-CV41</f>
        <v>-16196</v>
      </c>
      <c r="CW43" s="176"/>
      <c r="CX43" s="176"/>
      <c r="CY43" s="176">
        <f>CY23-CY41</f>
        <v>-9183</v>
      </c>
      <c r="CZ43" s="176"/>
      <c r="DA43" s="176"/>
      <c r="DB43" s="176">
        <f>DB23-DB41</f>
        <v>-10822</v>
      </c>
      <c r="DC43" s="176"/>
      <c r="DD43" s="176"/>
      <c r="DE43" s="176">
        <f>DE23-DE41</f>
        <v>-2911</v>
      </c>
      <c r="DF43" s="176"/>
      <c r="DG43" s="176"/>
      <c r="DH43" s="176">
        <f>DH23-DH41</f>
        <v>-5292.7970000000059</v>
      </c>
      <c r="DI43" s="176"/>
      <c r="DJ43" s="176"/>
      <c r="DK43" s="176">
        <f>DK23-DK41</f>
        <v>-5890.7589999999909</v>
      </c>
      <c r="DL43" s="176"/>
      <c r="DM43" s="176"/>
      <c r="DN43" s="176">
        <f>DN23-DN41</f>
        <v>-4632.6139999999868</v>
      </c>
      <c r="DO43" s="176"/>
      <c r="DP43" s="176"/>
      <c r="DQ43" s="176">
        <f>DQ23-DQ41</f>
        <v>-5353.2050000000163</v>
      </c>
      <c r="DR43" s="176"/>
      <c r="DS43" s="176"/>
      <c r="DT43" s="176">
        <f>DT23-DT41</f>
        <v>-3738</v>
      </c>
      <c r="DU43" s="375"/>
      <c r="DV43" s="375"/>
      <c r="DW43" s="375">
        <f>DW23-DW41</f>
        <v>3745</v>
      </c>
      <c r="DX43" s="375"/>
      <c r="DY43" s="375"/>
      <c r="DZ43" s="375">
        <f>DZ23-DZ41</f>
        <v>6612.6419999999998</v>
      </c>
      <c r="EA43" s="375"/>
      <c r="EB43" s="375"/>
      <c r="EC43" s="375">
        <f>EC23-EC41</f>
        <v>6051</v>
      </c>
    </row>
    <row r="44" spans="1:133" s="164" customFormat="1" ht="15" customHeight="1" thickTop="1" x14ac:dyDescent="0.2">
      <c r="A44" s="441" t="s">
        <v>84</v>
      </c>
      <c r="B44" s="165"/>
      <c r="C44" s="165"/>
      <c r="D44" s="165">
        <v>-10354</v>
      </c>
      <c r="E44" s="165"/>
      <c r="F44" s="165"/>
      <c r="G44" s="165">
        <v>-13732</v>
      </c>
      <c r="H44" s="166"/>
      <c r="I44" s="166"/>
      <c r="J44" s="166">
        <v>-13403</v>
      </c>
      <c r="K44" s="166"/>
      <c r="L44" s="166"/>
      <c r="M44" s="166">
        <v>-13521</v>
      </c>
      <c r="N44" s="166"/>
      <c r="O44" s="166"/>
      <c r="P44" s="166">
        <v>-15168</v>
      </c>
      <c r="Q44" s="166"/>
      <c r="R44" s="166"/>
      <c r="S44" s="166">
        <v>-14861</v>
      </c>
      <c r="T44" s="166"/>
      <c r="U44" s="166"/>
      <c r="V44" s="166">
        <v>-15347</v>
      </c>
      <c r="W44" s="166"/>
      <c r="X44" s="166"/>
      <c r="Y44" s="166">
        <v>-16552</v>
      </c>
      <c r="Z44" s="166"/>
      <c r="AA44" s="166"/>
      <c r="AB44" s="166">
        <v>-14614</v>
      </c>
      <c r="AC44" s="166"/>
      <c r="AD44" s="166"/>
      <c r="AE44" s="166">
        <v>-15022</v>
      </c>
      <c r="AF44" s="166"/>
      <c r="AG44" s="166"/>
      <c r="AH44" s="166">
        <v>-15743</v>
      </c>
      <c r="AI44" s="166"/>
      <c r="AJ44" s="166"/>
      <c r="AK44" s="166">
        <v>-16071</v>
      </c>
      <c r="AL44" s="166"/>
      <c r="AM44" s="166"/>
      <c r="AN44" s="166">
        <v>-18370</v>
      </c>
      <c r="AO44" s="166"/>
      <c r="AP44" s="166"/>
      <c r="AQ44" s="166">
        <v>-18759</v>
      </c>
      <c r="AR44" s="166"/>
      <c r="AS44" s="166"/>
      <c r="AT44" s="166">
        <v>-10325</v>
      </c>
      <c r="AU44" s="166"/>
      <c r="AV44" s="166"/>
      <c r="AW44" s="166">
        <v>-13622</v>
      </c>
      <c r="AX44" s="166"/>
      <c r="AY44" s="166"/>
      <c r="AZ44" s="166">
        <v>-10089</v>
      </c>
      <c r="BA44" s="166"/>
      <c r="BB44" s="166"/>
      <c r="BC44" s="166">
        <v>-5344</v>
      </c>
      <c r="BD44" s="166"/>
      <c r="BE44" s="166"/>
      <c r="BF44" s="166">
        <v>-8107</v>
      </c>
      <c r="BG44" s="166"/>
      <c r="BH44" s="166"/>
      <c r="BI44" s="166">
        <v>-7127</v>
      </c>
      <c r="BJ44" s="166"/>
      <c r="BK44" s="166"/>
      <c r="BL44" s="166">
        <v>-4977</v>
      </c>
      <c r="BM44" s="166"/>
      <c r="BN44" s="166"/>
      <c r="BO44" s="166">
        <v>-7130</v>
      </c>
      <c r="BP44" s="166"/>
      <c r="BQ44" s="166"/>
      <c r="BR44" s="166">
        <v>-6332</v>
      </c>
      <c r="BS44" s="166"/>
      <c r="BT44" s="166"/>
      <c r="BU44" s="166">
        <v>-5644</v>
      </c>
      <c r="BV44" s="166"/>
      <c r="BW44" s="166"/>
      <c r="BX44" s="166">
        <v>-5535</v>
      </c>
      <c r="BY44" s="166"/>
      <c r="BZ44" s="166"/>
      <c r="CA44" s="166">
        <v>-9526</v>
      </c>
      <c r="CB44" s="166"/>
      <c r="CC44" s="166"/>
      <c r="CD44" s="166">
        <v>-6798</v>
      </c>
      <c r="CE44" s="166"/>
      <c r="CF44" s="166"/>
      <c r="CG44" s="166">
        <v>-11556</v>
      </c>
      <c r="CH44" s="166"/>
      <c r="CI44" s="166"/>
      <c r="CJ44" s="166">
        <v>-11381</v>
      </c>
      <c r="CK44" s="166"/>
      <c r="CL44" s="166"/>
      <c r="CM44" s="166">
        <v>-15330</v>
      </c>
      <c r="CN44" s="166"/>
      <c r="CO44" s="166"/>
      <c r="CP44" s="166">
        <v>-14908</v>
      </c>
      <c r="CQ44" s="166"/>
      <c r="CR44" s="166"/>
      <c r="CS44" s="166">
        <v>-17327</v>
      </c>
      <c r="CT44" s="166"/>
      <c r="CU44" s="166"/>
      <c r="CV44" s="166">
        <v>-20369</v>
      </c>
      <c r="CW44" s="166"/>
      <c r="CX44" s="166"/>
      <c r="CY44" s="166">
        <v>-24944</v>
      </c>
      <c r="CZ44" s="166"/>
      <c r="DA44" s="166"/>
      <c r="DB44" s="166">
        <v>-19736</v>
      </c>
      <c r="DC44" s="166"/>
      <c r="DD44" s="166"/>
      <c r="DE44" s="166">
        <v>-28479</v>
      </c>
      <c r="DF44" s="166"/>
      <c r="DG44" s="166"/>
      <c r="DH44" s="166">
        <v>-45754</v>
      </c>
      <c r="DI44" s="166"/>
      <c r="DJ44" s="166"/>
      <c r="DK44" s="166">
        <v>-39127.497000000003</v>
      </c>
      <c r="DL44" s="166"/>
      <c r="DM44" s="166"/>
      <c r="DN44" s="166">
        <v>-42991.396000000001</v>
      </c>
      <c r="DO44" s="166"/>
      <c r="DP44" s="166"/>
      <c r="DQ44" s="166">
        <v>-45399</v>
      </c>
      <c r="DR44" s="166"/>
      <c r="DS44" s="166"/>
      <c r="DT44" s="373">
        <v>-44307</v>
      </c>
      <c r="DU44" s="373"/>
      <c r="DV44" s="373"/>
      <c r="DW44" s="373">
        <v>-48559</v>
      </c>
      <c r="DX44" s="373"/>
      <c r="DY44" s="373"/>
      <c r="DZ44" s="373">
        <v>-49401</v>
      </c>
      <c r="EA44" s="373"/>
      <c r="EB44" s="373"/>
      <c r="EC44" s="374">
        <v>-52681</v>
      </c>
    </row>
    <row r="45" spans="1:133" s="164" customFormat="1" ht="15" customHeight="1" x14ac:dyDescent="0.2">
      <c r="A45" s="441" t="s">
        <v>85</v>
      </c>
      <c r="B45" s="165"/>
      <c r="C45" s="165"/>
      <c r="D45" s="165">
        <v>-22</v>
      </c>
      <c r="E45" s="165"/>
      <c r="F45" s="165"/>
      <c r="G45" s="165">
        <v>-223</v>
      </c>
      <c r="H45" s="166"/>
      <c r="I45" s="166"/>
      <c r="J45" s="166">
        <v>-175</v>
      </c>
      <c r="K45" s="166"/>
      <c r="L45" s="166"/>
      <c r="M45" s="166">
        <v>-82</v>
      </c>
      <c r="N45" s="166"/>
      <c r="O45" s="166"/>
      <c r="P45" s="166">
        <v>-121</v>
      </c>
      <c r="Q45" s="166"/>
      <c r="R45" s="166"/>
      <c r="S45" s="166">
        <v>108</v>
      </c>
      <c r="T45" s="166"/>
      <c r="U45" s="166"/>
      <c r="V45" s="166">
        <v>-336</v>
      </c>
      <c r="W45" s="166"/>
      <c r="X45" s="166"/>
      <c r="Y45" s="166">
        <v>914</v>
      </c>
      <c r="Z45" s="166"/>
      <c r="AA45" s="166"/>
      <c r="AB45" s="166">
        <v>39</v>
      </c>
      <c r="AC45" s="166"/>
      <c r="AD45" s="166"/>
      <c r="AE45" s="166">
        <v>-76</v>
      </c>
      <c r="AF45" s="166"/>
      <c r="AG45" s="166"/>
      <c r="AH45" s="166">
        <v>1189</v>
      </c>
      <c r="AI45" s="166"/>
      <c r="AJ45" s="166"/>
      <c r="AK45" s="166">
        <v>-55</v>
      </c>
      <c r="AL45" s="166"/>
      <c r="AM45" s="166"/>
      <c r="AN45" s="166">
        <v>-410</v>
      </c>
      <c r="AO45" s="166"/>
      <c r="AP45" s="166"/>
      <c r="AQ45" s="166">
        <v>-3</v>
      </c>
      <c r="AR45" s="166"/>
      <c r="AS45" s="166"/>
      <c r="AT45" s="166">
        <v>-61</v>
      </c>
      <c r="AU45" s="166"/>
      <c r="AV45" s="166"/>
      <c r="AW45" s="166">
        <v>-8</v>
      </c>
      <c r="AX45" s="166"/>
      <c r="AY45" s="166"/>
      <c r="AZ45" s="166">
        <v>-3</v>
      </c>
      <c r="BA45" s="166"/>
      <c r="BB45" s="166"/>
      <c r="BC45" s="166">
        <v>24</v>
      </c>
      <c r="BD45" s="166"/>
      <c r="BE45" s="166"/>
      <c r="BF45" s="166">
        <v>-133</v>
      </c>
      <c r="BG45" s="166"/>
      <c r="BH45" s="166"/>
      <c r="BI45" s="166">
        <v>-481</v>
      </c>
      <c r="BJ45" s="166"/>
      <c r="BK45" s="166"/>
      <c r="BL45" s="166">
        <v>-14</v>
      </c>
      <c r="BM45" s="166"/>
      <c r="BN45" s="166"/>
      <c r="BO45" s="166">
        <v>-147</v>
      </c>
      <c r="BP45" s="166"/>
      <c r="BQ45" s="166"/>
      <c r="BR45" s="166">
        <v>199</v>
      </c>
      <c r="BS45" s="166"/>
      <c r="BT45" s="166"/>
      <c r="BU45" s="166">
        <v>-47</v>
      </c>
      <c r="BV45" s="166"/>
      <c r="BW45" s="166"/>
      <c r="BX45" s="166">
        <v>-194</v>
      </c>
      <c r="BY45" s="166"/>
      <c r="BZ45" s="166"/>
      <c r="CA45" s="166">
        <v>85</v>
      </c>
      <c r="CB45" s="166"/>
      <c r="CC45" s="166"/>
      <c r="CD45" s="166">
        <v>92</v>
      </c>
      <c r="CE45" s="166"/>
      <c r="CF45" s="166"/>
      <c r="CG45" s="166">
        <v>-171</v>
      </c>
      <c r="CH45" s="166"/>
      <c r="CI45" s="166"/>
      <c r="CJ45" s="166">
        <v>-658</v>
      </c>
      <c r="CK45" s="166"/>
      <c r="CL45" s="166"/>
      <c r="CM45" s="166">
        <v>-443</v>
      </c>
      <c r="CN45" s="166"/>
      <c r="CO45" s="166"/>
      <c r="CP45" s="166">
        <v>-1020</v>
      </c>
      <c r="CQ45" s="166"/>
      <c r="CR45" s="166"/>
      <c r="CS45" s="166">
        <v>-1012</v>
      </c>
      <c r="CT45" s="166"/>
      <c r="CU45" s="166"/>
      <c r="CV45" s="166">
        <v>-919</v>
      </c>
      <c r="CW45" s="166"/>
      <c r="CX45" s="166"/>
      <c r="CY45" s="166">
        <v>-963</v>
      </c>
      <c r="CZ45" s="166"/>
      <c r="DA45" s="166"/>
      <c r="DB45" s="166">
        <v>52</v>
      </c>
      <c r="DC45" s="166"/>
      <c r="DD45" s="166"/>
      <c r="DE45" s="166">
        <v>-450</v>
      </c>
      <c r="DF45" s="166"/>
      <c r="DG45" s="166"/>
      <c r="DH45" s="166">
        <v>104</v>
      </c>
      <c r="DI45" s="166"/>
      <c r="DJ45" s="166"/>
      <c r="DK45" s="166">
        <v>-92.468999999999994</v>
      </c>
      <c r="DL45" s="166"/>
      <c r="DM45" s="166"/>
      <c r="DN45" s="166">
        <v>125.961</v>
      </c>
      <c r="DO45" s="166"/>
      <c r="DP45" s="166"/>
      <c r="DQ45" s="166">
        <v>-372</v>
      </c>
      <c r="DR45" s="166"/>
      <c r="DS45" s="166"/>
      <c r="DT45" s="373">
        <v>380</v>
      </c>
      <c r="DU45" s="373"/>
      <c r="DV45" s="373"/>
      <c r="DW45" s="373">
        <v>150</v>
      </c>
      <c r="DX45" s="373"/>
      <c r="DY45" s="373"/>
      <c r="DZ45" s="373">
        <v>32</v>
      </c>
      <c r="EA45" s="373"/>
      <c r="EB45" s="373"/>
      <c r="EC45" s="374">
        <v>-268</v>
      </c>
    </row>
    <row r="46" spans="1:133" s="164" customFormat="1" ht="5.0999999999999996" customHeight="1" x14ac:dyDescent="0.2">
      <c r="A46" s="441"/>
      <c r="B46" s="165"/>
      <c r="C46" s="165"/>
      <c r="D46" s="165"/>
      <c r="E46" s="165"/>
      <c r="F46" s="165"/>
      <c r="G46" s="165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6"/>
      <c r="AF46" s="166"/>
      <c r="AG46" s="166"/>
      <c r="AH46" s="166"/>
      <c r="AI46" s="166"/>
      <c r="AJ46" s="166"/>
      <c r="AK46" s="166"/>
      <c r="AL46" s="166"/>
      <c r="AM46" s="166"/>
      <c r="AN46" s="166"/>
      <c r="AO46" s="166"/>
      <c r="AP46" s="166"/>
      <c r="AQ46" s="166"/>
      <c r="AR46" s="166"/>
      <c r="AS46" s="166"/>
      <c r="AT46" s="166"/>
      <c r="AU46" s="166"/>
      <c r="AV46" s="166"/>
      <c r="AW46" s="166"/>
      <c r="AX46" s="166"/>
      <c r="AY46" s="166"/>
      <c r="AZ46" s="166"/>
      <c r="BA46" s="166"/>
      <c r="BB46" s="166"/>
      <c r="BC46" s="166"/>
      <c r="BD46" s="166"/>
      <c r="BE46" s="166"/>
      <c r="BF46" s="166"/>
      <c r="BG46" s="166"/>
      <c r="BH46" s="166"/>
      <c r="BI46" s="166"/>
      <c r="BJ46" s="166"/>
      <c r="BK46" s="166"/>
      <c r="BL46" s="166"/>
      <c r="BM46" s="166"/>
      <c r="BN46" s="166"/>
      <c r="BO46" s="166"/>
      <c r="BP46" s="166"/>
      <c r="BQ46" s="166"/>
      <c r="BR46" s="166"/>
      <c r="BS46" s="166"/>
      <c r="BT46" s="166"/>
      <c r="BU46" s="166"/>
      <c r="BV46" s="166"/>
      <c r="BW46" s="166"/>
      <c r="BX46" s="166"/>
      <c r="BY46" s="166"/>
      <c r="BZ46" s="166"/>
      <c r="CA46" s="166"/>
      <c r="CB46" s="166"/>
      <c r="CC46" s="166"/>
      <c r="CD46" s="166"/>
      <c r="CE46" s="166"/>
      <c r="CF46" s="166"/>
      <c r="CG46" s="166"/>
      <c r="CH46" s="166"/>
      <c r="CI46" s="166"/>
      <c r="CJ46" s="166"/>
      <c r="CK46" s="166"/>
      <c r="CL46" s="166"/>
      <c r="CM46" s="166"/>
      <c r="CN46" s="166"/>
      <c r="CO46" s="166"/>
      <c r="CP46" s="166"/>
      <c r="CQ46" s="166"/>
      <c r="CR46" s="166"/>
      <c r="CS46" s="166"/>
      <c r="CT46" s="166"/>
      <c r="CU46" s="166"/>
      <c r="CV46" s="166"/>
      <c r="CW46" s="166"/>
      <c r="CX46" s="166"/>
      <c r="CY46" s="166"/>
      <c r="CZ46" s="166"/>
      <c r="DA46" s="166"/>
      <c r="DB46" s="166"/>
      <c r="DC46" s="166"/>
      <c r="DD46" s="166"/>
      <c r="DE46" s="166"/>
      <c r="DF46" s="166"/>
      <c r="DG46" s="166"/>
      <c r="DH46" s="166"/>
      <c r="DI46" s="166"/>
      <c r="DJ46" s="166"/>
      <c r="DK46" s="166"/>
      <c r="DL46" s="166"/>
      <c r="DM46" s="166"/>
      <c r="DN46" s="166"/>
      <c r="DO46" s="166"/>
      <c r="DP46" s="166"/>
      <c r="DQ46" s="166"/>
      <c r="DR46" s="166"/>
      <c r="DS46" s="166"/>
      <c r="DT46" s="166"/>
      <c r="DU46" s="373"/>
      <c r="DV46" s="373"/>
      <c r="DW46" s="373"/>
      <c r="DX46" s="373"/>
      <c r="DY46" s="373"/>
      <c r="DZ46" s="373"/>
      <c r="EA46" s="373"/>
      <c r="EB46" s="373"/>
      <c r="EC46" s="373"/>
    </row>
    <row r="47" spans="1:133" s="178" customFormat="1" ht="15" customHeight="1" thickBot="1" x14ac:dyDescent="0.25">
      <c r="A47" s="175" t="s">
        <v>642</v>
      </c>
      <c r="B47" s="176"/>
      <c r="C47" s="176"/>
      <c r="D47" s="176">
        <f>SUM(D43:D45)</f>
        <v>-5174</v>
      </c>
      <c r="E47" s="176"/>
      <c r="F47" s="176"/>
      <c r="G47" s="176">
        <f>SUM(G43:G45)</f>
        <v>-4530</v>
      </c>
      <c r="H47" s="176"/>
      <c r="I47" s="176"/>
      <c r="J47" s="176">
        <f>SUM(J43:J45)</f>
        <v>-4243</v>
      </c>
      <c r="K47" s="176"/>
      <c r="L47" s="176"/>
      <c r="M47" s="176">
        <f>SUM(M43:M45)</f>
        <v>-4503</v>
      </c>
      <c r="N47" s="176"/>
      <c r="O47" s="176"/>
      <c r="P47" s="176">
        <f>SUM(P43:P45)</f>
        <v>-5019</v>
      </c>
      <c r="Q47" s="176"/>
      <c r="R47" s="176"/>
      <c r="S47" s="176">
        <f>SUM(S43:S45)</f>
        <v>-5123</v>
      </c>
      <c r="T47" s="176"/>
      <c r="U47" s="176"/>
      <c r="V47" s="176">
        <f>SUM(V43:V45)</f>
        <v>-9267</v>
      </c>
      <c r="W47" s="176"/>
      <c r="X47" s="176"/>
      <c r="Y47" s="176">
        <f>SUM(Y43:Y45)</f>
        <v>-8022</v>
      </c>
      <c r="Z47" s="176"/>
      <c r="AA47" s="176"/>
      <c r="AB47" s="176">
        <f>SUM(AB43:AB45)</f>
        <v>-8086</v>
      </c>
      <c r="AC47" s="176"/>
      <c r="AD47" s="176"/>
      <c r="AE47" s="176">
        <f>SUM(AE43:AE45)</f>
        <v>-8161</v>
      </c>
      <c r="AF47" s="176"/>
      <c r="AG47" s="176"/>
      <c r="AH47" s="176">
        <f>SUM(AH43:AH45)</f>
        <v>-6722</v>
      </c>
      <c r="AI47" s="176"/>
      <c r="AJ47" s="176"/>
      <c r="AK47" s="176">
        <f>SUM(AK43:AK45)</f>
        <v>-8358</v>
      </c>
      <c r="AL47" s="176"/>
      <c r="AM47" s="176"/>
      <c r="AN47" s="176">
        <f>SUM(AN43:AN45)</f>
        <v>-10100</v>
      </c>
      <c r="AO47" s="176"/>
      <c r="AP47" s="176"/>
      <c r="AQ47" s="176">
        <f>SUM(AQ43:AQ45)</f>
        <v>-11038</v>
      </c>
      <c r="AR47" s="176"/>
      <c r="AS47" s="176"/>
      <c r="AT47" s="176">
        <f>SUM(AT43:AT45)</f>
        <v>-10587</v>
      </c>
      <c r="AU47" s="176"/>
      <c r="AV47" s="176"/>
      <c r="AW47" s="176">
        <f>SUM(AW43:AW45)</f>
        <v>-12628</v>
      </c>
      <c r="AX47" s="176"/>
      <c r="AY47" s="176"/>
      <c r="AZ47" s="176">
        <f>SUM(AZ43:AZ45)</f>
        <v>-13950</v>
      </c>
      <c r="BA47" s="176"/>
      <c r="BB47" s="176"/>
      <c r="BC47" s="176">
        <f>SUM(BC43:BC45)</f>
        <v>-11562</v>
      </c>
      <c r="BD47" s="176"/>
      <c r="BE47" s="176"/>
      <c r="BF47" s="176">
        <f>SUM(BF43:BF45)</f>
        <v>-16918</v>
      </c>
      <c r="BG47" s="176"/>
      <c r="BH47" s="176"/>
      <c r="BI47" s="176">
        <f>SUM(BI43:BI45)</f>
        <v>-15875</v>
      </c>
      <c r="BJ47" s="176"/>
      <c r="BK47" s="176"/>
      <c r="BL47" s="176">
        <f>SUM(BL43:BL45)</f>
        <v>-13222</v>
      </c>
      <c r="BM47" s="176"/>
      <c r="BN47" s="176"/>
      <c r="BO47" s="176">
        <f>SUM(BO43:BO45)</f>
        <v>-19399</v>
      </c>
      <c r="BP47" s="176"/>
      <c r="BQ47" s="176"/>
      <c r="BR47" s="176">
        <f>SUM(BR43:BR45)</f>
        <v>-17923</v>
      </c>
      <c r="BS47" s="176"/>
      <c r="BT47" s="176"/>
      <c r="BU47" s="176">
        <f>SUM(BU43:BU45)</f>
        <v>-19454</v>
      </c>
      <c r="BV47" s="176"/>
      <c r="BW47" s="176"/>
      <c r="BX47" s="176">
        <f>SUM(BX43:BX45)</f>
        <v>-17202</v>
      </c>
      <c r="BY47" s="176"/>
      <c r="BZ47" s="176"/>
      <c r="CA47" s="176">
        <f>SUM(CA43:CA45)</f>
        <v>-18992</v>
      </c>
      <c r="CB47" s="176"/>
      <c r="CC47" s="176"/>
      <c r="CD47" s="176">
        <f>SUM(CD43:CD45)</f>
        <v>-19230</v>
      </c>
      <c r="CE47" s="176"/>
      <c r="CF47" s="176"/>
      <c r="CG47" s="176">
        <f>SUM(CG43:CG45)</f>
        <v>-22773</v>
      </c>
      <c r="CH47" s="176"/>
      <c r="CI47" s="176"/>
      <c r="CJ47" s="176">
        <f>SUM(CJ43:CJ45)</f>
        <v>-21386</v>
      </c>
      <c r="CK47" s="176"/>
      <c r="CL47" s="176"/>
      <c r="CM47" s="176">
        <f>SUM(CM43:CM45)</f>
        <v>-23976</v>
      </c>
      <c r="CN47" s="176"/>
      <c r="CO47" s="176"/>
      <c r="CP47" s="176">
        <f>SUM(CP43:CP45)</f>
        <v>-27565</v>
      </c>
      <c r="CQ47" s="176"/>
      <c r="CR47" s="176"/>
      <c r="CS47" s="176">
        <f>SUM(CS43:CS45)</f>
        <v>-31225</v>
      </c>
      <c r="CT47" s="176"/>
      <c r="CU47" s="176"/>
      <c r="CV47" s="176">
        <f>SUM(CV43:CV45)</f>
        <v>-37484</v>
      </c>
      <c r="CW47" s="176"/>
      <c r="CX47" s="176"/>
      <c r="CY47" s="176">
        <f>SUM(CY43:CY45)</f>
        <v>-35090</v>
      </c>
      <c r="CZ47" s="176"/>
      <c r="DA47" s="176"/>
      <c r="DB47" s="176">
        <f>SUM(DB43:DB45)</f>
        <v>-30506</v>
      </c>
      <c r="DC47" s="176"/>
      <c r="DD47" s="176"/>
      <c r="DE47" s="176">
        <f>SUM(DE43:DE45)</f>
        <v>-31840</v>
      </c>
      <c r="DF47" s="176"/>
      <c r="DG47" s="176"/>
      <c r="DH47" s="176">
        <f>SUM(DH43:DH45)</f>
        <v>-50942.797000000006</v>
      </c>
      <c r="DI47" s="176"/>
      <c r="DJ47" s="176"/>
      <c r="DK47" s="176">
        <f>SUM(DK43:DK45)</f>
        <v>-45110.724999999991</v>
      </c>
      <c r="DL47" s="176"/>
      <c r="DM47" s="176"/>
      <c r="DN47" s="176">
        <f>SUM(DN43:DN45)</f>
        <v>-47498.048999999985</v>
      </c>
      <c r="DO47" s="176"/>
      <c r="DP47" s="176"/>
      <c r="DQ47" s="176">
        <f>SUM(DQ43:DQ45)</f>
        <v>-51124.205000000016</v>
      </c>
      <c r="DR47" s="176"/>
      <c r="DS47" s="176"/>
      <c r="DT47" s="176">
        <f>SUM(DT43:DT45)</f>
        <v>-47665</v>
      </c>
      <c r="DU47" s="375"/>
      <c r="DV47" s="375"/>
      <c r="DW47" s="375">
        <f>SUM(DW43:DW45)</f>
        <v>-44664</v>
      </c>
      <c r="DX47" s="375"/>
      <c r="DY47" s="375"/>
      <c r="DZ47" s="375">
        <f>SUM(DZ43:DZ45)</f>
        <v>-42756.358</v>
      </c>
      <c r="EA47" s="375"/>
      <c r="EB47" s="375"/>
      <c r="EC47" s="375">
        <f>SUM(EC43:EC45)</f>
        <v>-46898</v>
      </c>
    </row>
    <row r="48" spans="1:133" s="89" customFormat="1" ht="20.25" customHeight="1" thickTop="1" x14ac:dyDescent="0.2">
      <c r="A48" s="663" t="s">
        <v>86</v>
      </c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CM48" s="15"/>
      <c r="CN48" s="15"/>
      <c r="CO48" s="15"/>
      <c r="CP48" s="15"/>
      <c r="CQ48" s="15"/>
      <c r="CR48" s="15"/>
      <c r="CS48" s="15"/>
      <c r="CT48" s="15"/>
      <c r="CU48" s="15"/>
      <c r="CV48" s="15"/>
      <c r="CW48" s="15"/>
      <c r="CX48" s="15"/>
      <c r="CY48" s="15"/>
      <c r="CZ48" s="15"/>
      <c r="DA48" s="15"/>
      <c r="DB48" s="15"/>
      <c r="DC48" s="15"/>
      <c r="DD48" s="15"/>
      <c r="DE48" s="15"/>
      <c r="DF48" s="15"/>
      <c r="DG48" s="15"/>
      <c r="DH48" s="15"/>
      <c r="DI48" s="15"/>
      <c r="DJ48" s="15"/>
      <c r="DK48" s="15"/>
    </row>
    <row r="49" spans="1:115" s="89" customFormat="1" ht="20.25" customHeight="1" x14ac:dyDescent="0.2">
      <c r="A49" s="663" t="s">
        <v>87</v>
      </c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  <c r="CN49" s="15"/>
      <c r="CO49" s="15"/>
      <c r="CP49" s="15"/>
      <c r="CQ49" s="15"/>
      <c r="CR49" s="15"/>
      <c r="CS49" s="15"/>
      <c r="CT49" s="15"/>
      <c r="CU49" s="15"/>
      <c r="CV49" s="15"/>
      <c r="CW49" s="15"/>
      <c r="CX49" s="15"/>
      <c r="CY49" s="15"/>
      <c r="CZ49" s="15"/>
      <c r="DA49" s="15"/>
      <c r="DB49" s="15"/>
      <c r="DC49" s="15"/>
      <c r="DD49" s="15"/>
      <c r="DE49" s="15"/>
      <c r="DF49" s="15"/>
      <c r="DG49" s="15"/>
      <c r="DH49" s="15"/>
      <c r="DI49" s="15"/>
      <c r="DJ49" s="15"/>
      <c r="DK49" s="15"/>
    </row>
    <row r="50" spans="1:115" s="89" customFormat="1" ht="20.25" customHeight="1" x14ac:dyDescent="0.2">
      <c r="A50" s="663" t="s">
        <v>88</v>
      </c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  <c r="CO50" s="15"/>
      <c r="CP50" s="15"/>
      <c r="CQ50" s="15"/>
      <c r="CR50" s="15"/>
      <c r="CS50" s="15"/>
      <c r="CT50" s="15"/>
      <c r="CU50" s="15"/>
      <c r="CV50" s="15"/>
      <c r="CW50" s="15"/>
      <c r="CX50" s="15"/>
      <c r="CY50" s="15"/>
      <c r="CZ50" s="15"/>
      <c r="DA50" s="15"/>
      <c r="DB50" s="15"/>
      <c r="DC50" s="15"/>
      <c r="DD50" s="15"/>
      <c r="DE50" s="15"/>
      <c r="DF50" s="15"/>
      <c r="DG50" s="15"/>
      <c r="DH50" s="15"/>
      <c r="DI50" s="15"/>
      <c r="DJ50" s="15"/>
      <c r="DK50" s="15"/>
    </row>
    <row r="51" spans="1:115" s="89" customFormat="1" ht="15" customHeight="1" x14ac:dyDescent="0.2">
      <c r="A51" s="117"/>
    </row>
    <row r="52" spans="1:115" s="89" customFormat="1" ht="15" customHeight="1" x14ac:dyDescent="0.2">
      <c r="A52" s="117"/>
    </row>
    <row r="53" spans="1:115" s="89" customFormat="1" ht="15" customHeight="1" x14ac:dyDescent="0.2">
      <c r="A53" s="117"/>
    </row>
    <row r="54" spans="1:115" s="89" customFormat="1" ht="15" customHeight="1" x14ac:dyDescent="0.2">
      <c r="A54" s="117"/>
    </row>
    <row r="55" spans="1:115" s="89" customFormat="1" ht="15" customHeight="1" x14ac:dyDescent="0.2">
      <c r="A55" s="117"/>
    </row>
    <row r="56" spans="1:115" s="89" customFormat="1" ht="15" customHeight="1" x14ac:dyDescent="0.2">
      <c r="A56" s="117"/>
    </row>
    <row r="57" spans="1:115" s="89" customFormat="1" ht="15" customHeight="1" x14ac:dyDescent="0.2">
      <c r="A57" s="117"/>
    </row>
    <row r="58" spans="1:115" s="89" customFormat="1" ht="15" customHeight="1" x14ac:dyDescent="0.2">
      <c r="A58" s="117"/>
    </row>
    <row r="59" spans="1:115" s="89" customFormat="1" ht="15" customHeight="1" x14ac:dyDescent="0.2">
      <c r="A59" s="117"/>
    </row>
    <row r="60" spans="1:115" s="89" customFormat="1" ht="15" customHeight="1" x14ac:dyDescent="0.2">
      <c r="A60" s="117"/>
    </row>
    <row r="61" spans="1:115" s="89" customFormat="1" ht="15" customHeight="1" x14ac:dyDescent="0.2">
      <c r="A61" s="117"/>
    </row>
    <row r="62" spans="1:115" s="89" customFormat="1" ht="15" customHeight="1" x14ac:dyDescent="0.2">
      <c r="A62" s="117"/>
    </row>
    <row r="63" spans="1:115" s="89" customFormat="1" ht="15" customHeight="1" x14ac:dyDescent="0.2">
      <c r="A63" s="117"/>
    </row>
    <row r="64" spans="1:115" s="89" customFormat="1" ht="15" customHeight="1" x14ac:dyDescent="0.2">
      <c r="A64" s="117"/>
    </row>
    <row r="65" spans="1:1" s="89" customFormat="1" ht="15" customHeight="1" x14ac:dyDescent="0.2">
      <c r="A65" s="117"/>
    </row>
    <row r="66" spans="1:1" s="89" customFormat="1" ht="15" customHeight="1" x14ac:dyDescent="0.2">
      <c r="A66" s="117"/>
    </row>
    <row r="67" spans="1:1" s="89" customFormat="1" ht="15" customHeight="1" x14ac:dyDescent="0.2">
      <c r="A67" s="117"/>
    </row>
    <row r="68" spans="1:1" s="89" customFormat="1" ht="15" customHeight="1" x14ac:dyDescent="0.2">
      <c r="A68" s="117"/>
    </row>
    <row r="69" spans="1:1" s="89" customFormat="1" ht="15" customHeight="1" x14ac:dyDescent="0.2">
      <c r="A69" s="117"/>
    </row>
    <row r="70" spans="1:1" s="89" customFormat="1" ht="15" customHeight="1" x14ac:dyDescent="0.2">
      <c r="A70" s="117"/>
    </row>
    <row r="71" spans="1:1" s="89" customFormat="1" ht="15" customHeight="1" x14ac:dyDescent="0.2">
      <c r="A71" s="117"/>
    </row>
    <row r="72" spans="1:1" s="89" customFormat="1" ht="15" customHeight="1" x14ac:dyDescent="0.2">
      <c r="A72" s="117"/>
    </row>
    <row r="73" spans="1:1" s="89" customFormat="1" ht="15" customHeight="1" x14ac:dyDescent="0.2">
      <c r="A73" s="117"/>
    </row>
    <row r="74" spans="1:1" s="89" customFormat="1" ht="15" customHeight="1" x14ac:dyDescent="0.2">
      <c r="A74" s="117"/>
    </row>
    <row r="75" spans="1:1" s="89" customFormat="1" ht="15" customHeight="1" x14ac:dyDescent="0.2">
      <c r="A75" s="117"/>
    </row>
    <row r="76" spans="1:1" s="89" customFormat="1" ht="15" customHeight="1" x14ac:dyDescent="0.2">
      <c r="A76" s="117"/>
    </row>
    <row r="77" spans="1:1" s="89" customFormat="1" ht="15" customHeight="1" x14ac:dyDescent="0.2">
      <c r="A77" s="117"/>
    </row>
    <row r="78" spans="1:1" s="89" customFormat="1" ht="15" customHeight="1" x14ac:dyDescent="0.2">
      <c r="A78" s="117"/>
    </row>
    <row r="79" spans="1:1" s="89" customFormat="1" ht="15" customHeight="1" x14ac:dyDescent="0.2">
      <c r="A79" s="117"/>
    </row>
    <row r="80" spans="1:1" s="89" customFormat="1" ht="15" customHeight="1" x14ac:dyDescent="0.2">
      <c r="A80" s="117"/>
    </row>
    <row r="81" spans="1:133" s="89" customFormat="1" ht="15" customHeight="1" x14ac:dyDescent="0.2">
      <c r="A81" s="117"/>
    </row>
    <row r="82" spans="1:133" s="89" customFormat="1" ht="15" customHeight="1" x14ac:dyDescent="0.2">
      <c r="A82" s="117"/>
    </row>
    <row r="83" spans="1:133" s="89" customFormat="1" ht="15" customHeight="1" x14ac:dyDescent="0.2">
      <c r="A83" s="117"/>
    </row>
    <row r="84" spans="1:133" s="89" customFormat="1" ht="15" customHeight="1" x14ac:dyDescent="0.2">
      <c r="A84" s="117"/>
    </row>
    <row r="85" spans="1:133" s="89" customFormat="1" ht="15" customHeight="1" x14ac:dyDescent="0.2">
      <c r="A85" s="117"/>
    </row>
    <row r="86" spans="1:133" s="89" customFormat="1" ht="15" customHeight="1" x14ac:dyDescent="0.2">
      <c r="A86" s="117"/>
    </row>
    <row r="87" spans="1:133" s="89" customFormat="1" ht="15" customHeight="1" x14ac:dyDescent="0.2">
      <c r="A87" s="117"/>
    </row>
    <row r="88" spans="1:133" s="89" customFormat="1" ht="15" customHeight="1" x14ac:dyDescent="0.2">
      <c r="A88" s="117"/>
    </row>
    <row r="89" spans="1:133" s="89" customFormat="1" ht="15" customHeight="1" x14ac:dyDescent="0.2">
      <c r="A89" s="117"/>
    </row>
    <row r="90" spans="1:133" s="89" customFormat="1" ht="15" customHeight="1" x14ac:dyDescent="0.2">
      <c r="A90" s="117"/>
    </row>
    <row r="91" spans="1:133" s="89" customFormat="1" ht="15" customHeight="1" x14ac:dyDescent="0.2">
      <c r="A91" s="117"/>
    </row>
    <row r="92" spans="1:133" s="89" customFormat="1" ht="15" customHeight="1" x14ac:dyDescent="0.2">
      <c r="A92" s="117"/>
    </row>
    <row r="93" spans="1:133" s="89" customFormat="1" ht="15" customHeight="1" x14ac:dyDescent="0.2">
      <c r="A93" s="117"/>
    </row>
    <row r="94" spans="1:133" s="89" customFormat="1" ht="15" customHeight="1" x14ac:dyDescent="0.2">
      <c r="A94" s="117"/>
    </row>
    <row r="95" spans="1:133" s="89" customFormat="1" ht="15" customHeight="1" x14ac:dyDescent="0.2">
      <c r="A95" s="92"/>
      <c r="B95" s="90"/>
      <c r="C95" s="90"/>
      <c r="D95" s="90"/>
      <c r="E95" s="90"/>
      <c r="F95" s="90"/>
      <c r="G95" s="90"/>
      <c r="H95" s="90"/>
      <c r="I95" s="90"/>
      <c r="J95" s="90"/>
      <c r="K95" s="90"/>
      <c r="L95" s="90"/>
      <c r="M95" s="90"/>
      <c r="N95" s="90"/>
      <c r="O95" s="90"/>
      <c r="P95" s="90"/>
      <c r="Q95" s="90"/>
      <c r="R95" s="90"/>
      <c r="S95" s="90"/>
      <c r="T95" s="90"/>
      <c r="U95" s="90"/>
      <c r="V95" s="90"/>
      <c r="W95" s="90"/>
      <c r="X95" s="90"/>
      <c r="Y95" s="90"/>
      <c r="Z95" s="90"/>
      <c r="AA95" s="90"/>
      <c r="AB95" s="90"/>
      <c r="AC95" s="90"/>
      <c r="AD95" s="90"/>
      <c r="AE95" s="90"/>
      <c r="AF95" s="90"/>
      <c r="AG95" s="90"/>
      <c r="AH95" s="90"/>
      <c r="AI95" s="90"/>
      <c r="AJ95" s="90"/>
      <c r="AK95" s="90"/>
      <c r="AL95" s="90"/>
      <c r="AM95" s="90"/>
      <c r="AN95" s="90"/>
      <c r="AO95" s="90"/>
      <c r="AP95" s="90"/>
      <c r="AQ95" s="90"/>
      <c r="AR95" s="90"/>
      <c r="AS95" s="90"/>
      <c r="AT95" s="90"/>
      <c r="AU95" s="90"/>
      <c r="AV95" s="90"/>
      <c r="AW95" s="90"/>
      <c r="AX95" s="90"/>
      <c r="AY95" s="90"/>
      <c r="AZ95" s="90"/>
      <c r="BA95" s="90"/>
      <c r="BB95" s="90"/>
      <c r="BC95" s="90"/>
      <c r="BD95" s="90"/>
      <c r="BE95" s="90"/>
      <c r="BF95" s="90"/>
      <c r="BG95" s="90"/>
      <c r="BH95" s="90"/>
      <c r="BI95" s="90"/>
      <c r="BJ95" s="90"/>
      <c r="BK95" s="90"/>
      <c r="BL95" s="90"/>
      <c r="BM95" s="90"/>
      <c r="BN95" s="90"/>
      <c r="BO95" s="90"/>
      <c r="BP95" s="90"/>
      <c r="BQ95" s="90"/>
      <c r="BR95" s="90"/>
      <c r="BS95" s="90"/>
      <c r="BT95" s="90"/>
      <c r="BU95" s="90"/>
      <c r="BV95" s="90"/>
      <c r="BW95" s="90"/>
      <c r="BX95" s="90"/>
      <c r="BY95" s="90"/>
      <c r="BZ95" s="90"/>
      <c r="CA95" s="90"/>
      <c r="CB95" s="90"/>
      <c r="CC95" s="90"/>
      <c r="CD95" s="90"/>
      <c r="CE95" s="90"/>
      <c r="CF95" s="90"/>
      <c r="CG95" s="90"/>
      <c r="CH95" s="90"/>
      <c r="CI95" s="90"/>
      <c r="CJ95" s="90"/>
      <c r="CK95" s="90"/>
      <c r="CL95" s="90"/>
      <c r="CM95" s="90"/>
      <c r="CN95" s="90"/>
      <c r="CO95" s="90"/>
      <c r="CP95" s="90"/>
      <c r="CQ95" s="90"/>
      <c r="CR95" s="90"/>
      <c r="CS95" s="90"/>
      <c r="CT95" s="90"/>
      <c r="CU95" s="90"/>
      <c r="CV95" s="90"/>
      <c r="CW95" s="90"/>
      <c r="CX95" s="90"/>
      <c r="CY95" s="90"/>
      <c r="CZ95" s="90"/>
      <c r="DA95" s="90"/>
      <c r="DB95" s="90"/>
      <c r="DC95" s="90"/>
      <c r="DD95" s="90"/>
      <c r="DE95" s="90"/>
      <c r="DF95" s="90"/>
      <c r="DG95" s="90"/>
      <c r="DH95" s="90"/>
      <c r="DI95" s="90"/>
      <c r="DJ95" s="90"/>
      <c r="DK95" s="90"/>
      <c r="DL95" s="90"/>
      <c r="DM95" s="90"/>
      <c r="DN95" s="90"/>
      <c r="DO95" s="90"/>
      <c r="DP95" s="90"/>
      <c r="DQ95" s="90"/>
      <c r="DR95" s="90"/>
      <c r="DS95" s="90"/>
      <c r="DT95" s="90"/>
      <c r="DU95" s="90"/>
      <c r="DV95" s="90"/>
      <c r="DW95" s="90"/>
      <c r="DX95" s="90"/>
      <c r="DY95" s="90"/>
      <c r="DZ95" s="90"/>
      <c r="EA95" s="90"/>
      <c r="EB95" s="90"/>
      <c r="EC95" s="90"/>
    </row>
    <row r="96" spans="1:133" s="89" customFormat="1" ht="15" customHeight="1" x14ac:dyDescent="0.2">
      <c r="A96" s="92"/>
      <c r="B96" s="90"/>
      <c r="C96" s="90"/>
      <c r="D96" s="90"/>
      <c r="E96" s="90"/>
      <c r="F96" s="90"/>
      <c r="G96" s="90"/>
      <c r="H96" s="90"/>
      <c r="I96" s="90"/>
      <c r="J96" s="90"/>
      <c r="K96" s="90"/>
      <c r="L96" s="90"/>
      <c r="M96" s="90"/>
      <c r="N96" s="90"/>
      <c r="O96" s="90"/>
      <c r="P96" s="90"/>
      <c r="Q96" s="90"/>
      <c r="R96" s="90"/>
      <c r="S96" s="90"/>
      <c r="T96" s="90"/>
      <c r="U96" s="90"/>
      <c r="V96" s="90"/>
      <c r="W96" s="90"/>
      <c r="X96" s="90"/>
      <c r="Y96" s="90"/>
      <c r="Z96" s="90"/>
      <c r="AA96" s="90"/>
      <c r="AB96" s="90"/>
      <c r="AC96" s="90"/>
      <c r="AD96" s="90"/>
      <c r="AE96" s="90"/>
      <c r="AF96" s="90"/>
      <c r="AG96" s="90"/>
      <c r="AH96" s="90"/>
      <c r="AI96" s="90"/>
      <c r="AJ96" s="90"/>
      <c r="AK96" s="90"/>
      <c r="AL96" s="90"/>
      <c r="AM96" s="90"/>
      <c r="AN96" s="90"/>
      <c r="AO96" s="90"/>
      <c r="AP96" s="90"/>
      <c r="AQ96" s="90"/>
      <c r="AR96" s="90"/>
      <c r="AS96" s="90"/>
      <c r="AT96" s="90"/>
      <c r="AU96" s="90"/>
      <c r="AV96" s="90"/>
      <c r="AW96" s="90"/>
      <c r="AX96" s="90"/>
      <c r="AY96" s="90"/>
      <c r="AZ96" s="90"/>
      <c r="BA96" s="90"/>
      <c r="BB96" s="90"/>
      <c r="BC96" s="90"/>
      <c r="BD96" s="90"/>
      <c r="BE96" s="90"/>
      <c r="BF96" s="90"/>
      <c r="BG96" s="90"/>
      <c r="BH96" s="90"/>
      <c r="BI96" s="90"/>
      <c r="BJ96" s="90"/>
      <c r="BK96" s="90"/>
      <c r="BL96" s="90"/>
      <c r="BM96" s="90"/>
      <c r="BN96" s="90"/>
      <c r="BO96" s="90"/>
      <c r="BP96" s="90"/>
      <c r="BQ96" s="90"/>
      <c r="BR96" s="90"/>
      <c r="BS96" s="90"/>
      <c r="BT96" s="90"/>
      <c r="BU96" s="90"/>
      <c r="BV96" s="90"/>
      <c r="BW96" s="90"/>
      <c r="BX96" s="90"/>
      <c r="BY96" s="90"/>
      <c r="BZ96" s="90"/>
      <c r="CA96" s="90"/>
      <c r="CB96" s="90"/>
      <c r="CC96" s="90"/>
      <c r="CD96" s="90"/>
      <c r="CE96" s="90"/>
      <c r="CF96" s="90"/>
      <c r="CG96" s="90"/>
      <c r="CH96" s="90"/>
      <c r="CI96" s="90"/>
      <c r="CJ96" s="90"/>
      <c r="CK96" s="90"/>
      <c r="CL96" s="90"/>
      <c r="CM96" s="90"/>
      <c r="CN96" s="90"/>
      <c r="CO96" s="90"/>
      <c r="CP96" s="90"/>
      <c r="CQ96" s="90"/>
      <c r="CR96" s="90"/>
      <c r="CS96" s="90"/>
      <c r="CT96" s="90"/>
      <c r="CU96" s="90"/>
      <c r="CV96" s="90"/>
      <c r="CW96" s="90"/>
      <c r="CX96" s="90"/>
      <c r="CY96" s="90"/>
      <c r="CZ96" s="90"/>
      <c r="DA96" s="90"/>
      <c r="DB96" s="90"/>
      <c r="DC96" s="90"/>
      <c r="DD96" s="90"/>
      <c r="DE96" s="90"/>
      <c r="DF96" s="90"/>
      <c r="DG96" s="90"/>
      <c r="DH96" s="90"/>
      <c r="DI96" s="90"/>
      <c r="DJ96" s="90"/>
      <c r="DK96" s="90"/>
      <c r="DL96" s="90"/>
      <c r="DM96" s="90"/>
      <c r="DN96" s="90"/>
      <c r="DO96" s="90"/>
      <c r="DP96" s="90"/>
      <c r="DQ96" s="90"/>
      <c r="DR96" s="90"/>
      <c r="DS96" s="90"/>
      <c r="DT96" s="90"/>
      <c r="DU96" s="90"/>
      <c r="DV96" s="90"/>
      <c r="DW96" s="90"/>
      <c r="DX96" s="90"/>
      <c r="DY96" s="90"/>
      <c r="DZ96" s="90"/>
      <c r="EA96" s="90"/>
      <c r="EB96" s="90"/>
      <c r="EC96" s="90"/>
    </row>
    <row r="97" spans="1:133" s="89" customFormat="1" ht="15" customHeight="1" x14ac:dyDescent="0.2">
      <c r="A97" s="92"/>
      <c r="B97" s="90"/>
      <c r="C97" s="90"/>
      <c r="D97" s="90"/>
      <c r="E97" s="90"/>
      <c r="F97" s="90"/>
      <c r="G97" s="90"/>
      <c r="H97" s="90"/>
      <c r="I97" s="90"/>
      <c r="J97" s="90"/>
      <c r="K97" s="90"/>
      <c r="L97" s="90"/>
      <c r="M97" s="90"/>
      <c r="N97" s="90"/>
      <c r="O97" s="90"/>
      <c r="P97" s="90"/>
      <c r="Q97" s="90"/>
      <c r="R97" s="90"/>
      <c r="S97" s="90"/>
      <c r="T97" s="90"/>
      <c r="U97" s="90"/>
      <c r="V97" s="90"/>
      <c r="W97" s="90"/>
      <c r="X97" s="90"/>
      <c r="Y97" s="90"/>
      <c r="Z97" s="90"/>
      <c r="AA97" s="90"/>
      <c r="AB97" s="90"/>
      <c r="AC97" s="90"/>
      <c r="AD97" s="90"/>
      <c r="AE97" s="90"/>
      <c r="AF97" s="90"/>
      <c r="AG97" s="90"/>
      <c r="AH97" s="90"/>
      <c r="AI97" s="90"/>
      <c r="AJ97" s="90"/>
      <c r="AK97" s="90"/>
      <c r="AL97" s="90"/>
      <c r="AM97" s="90"/>
      <c r="AN97" s="90"/>
      <c r="AO97" s="90"/>
      <c r="AP97" s="90"/>
      <c r="AQ97" s="90"/>
      <c r="AR97" s="90"/>
      <c r="AS97" s="90"/>
      <c r="AT97" s="90"/>
      <c r="AU97" s="90"/>
      <c r="AV97" s="90"/>
      <c r="AW97" s="90"/>
      <c r="AX97" s="90"/>
      <c r="AY97" s="90"/>
      <c r="AZ97" s="90"/>
      <c r="BA97" s="90"/>
      <c r="BB97" s="90"/>
      <c r="BC97" s="90"/>
      <c r="BD97" s="90"/>
      <c r="BE97" s="90"/>
      <c r="BF97" s="90"/>
      <c r="BG97" s="90"/>
      <c r="BH97" s="90"/>
      <c r="BI97" s="90"/>
      <c r="BJ97" s="90"/>
      <c r="BK97" s="90"/>
      <c r="BL97" s="90"/>
      <c r="BM97" s="90"/>
      <c r="BN97" s="90"/>
      <c r="BO97" s="90"/>
      <c r="BP97" s="90"/>
      <c r="BQ97" s="90"/>
      <c r="BR97" s="90"/>
      <c r="BS97" s="90"/>
      <c r="BT97" s="90"/>
      <c r="BU97" s="90"/>
      <c r="BV97" s="90"/>
      <c r="BW97" s="90"/>
      <c r="BX97" s="90"/>
      <c r="BY97" s="90"/>
      <c r="BZ97" s="90"/>
      <c r="CA97" s="90"/>
      <c r="CB97" s="90"/>
      <c r="CC97" s="90"/>
      <c r="CD97" s="90"/>
      <c r="CE97" s="90"/>
      <c r="CF97" s="90"/>
      <c r="CG97" s="90"/>
      <c r="CH97" s="90"/>
      <c r="CI97" s="90"/>
      <c r="CJ97" s="90"/>
      <c r="CK97" s="90"/>
      <c r="CL97" s="90"/>
      <c r="CM97" s="90"/>
      <c r="CN97" s="90"/>
      <c r="CO97" s="90"/>
      <c r="CP97" s="90"/>
      <c r="CQ97" s="90"/>
      <c r="CR97" s="90"/>
      <c r="CS97" s="90"/>
      <c r="CT97" s="90"/>
      <c r="CU97" s="90"/>
      <c r="CV97" s="90"/>
      <c r="CW97" s="90"/>
      <c r="CX97" s="90"/>
      <c r="CY97" s="90"/>
      <c r="CZ97" s="90"/>
      <c r="DA97" s="90"/>
      <c r="DB97" s="90"/>
      <c r="DC97" s="90"/>
      <c r="DD97" s="90"/>
      <c r="DE97" s="90"/>
      <c r="DF97" s="90"/>
      <c r="DG97" s="90"/>
      <c r="DH97" s="90"/>
      <c r="DI97" s="90"/>
      <c r="DJ97" s="90"/>
      <c r="DK97" s="90"/>
      <c r="DL97" s="90"/>
      <c r="DM97" s="90"/>
      <c r="DN97" s="90"/>
      <c r="DO97" s="90"/>
      <c r="DP97" s="90"/>
      <c r="DQ97" s="90"/>
      <c r="DR97" s="90"/>
      <c r="DS97" s="90"/>
      <c r="DT97" s="90"/>
      <c r="DU97" s="90"/>
      <c r="DV97" s="90"/>
      <c r="DW97" s="90"/>
      <c r="DX97" s="90"/>
      <c r="DY97" s="90"/>
      <c r="DZ97" s="90"/>
      <c r="EA97" s="90"/>
      <c r="EB97" s="90"/>
      <c r="EC97" s="90"/>
    </row>
    <row r="98" spans="1:133" s="89" customFormat="1" ht="15" customHeight="1" x14ac:dyDescent="0.2">
      <c r="A98" s="92"/>
      <c r="B98" s="90"/>
      <c r="C98" s="90"/>
      <c r="D98" s="90"/>
      <c r="E98" s="90"/>
      <c r="F98" s="90"/>
      <c r="G98" s="90"/>
      <c r="H98" s="90"/>
      <c r="I98" s="90"/>
      <c r="J98" s="90"/>
      <c r="K98" s="90"/>
      <c r="L98" s="90"/>
      <c r="M98" s="90"/>
      <c r="N98" s="90"/>
      <c r="O98" s="90"/>
      <c r="P98" s="90"/>
      <c r="Q98" s="90"/>
      <c r="R98" s="90"/>
      <c r="S98" s="90"/>
      <c r="T98" s="90"/>
      <c r="U98" s="90"/>
      <c r="V98" s="90"/>
      <c r="W98" s="90"/>
      <c r="X98" s="90"/>
      <c r="Y98" s="90"/>
      <c r="Z98" s="90"/>
      <c r="AA98" s="90"/>
      <c r="AB98" s="90"/>
      <c r="AC98" s="90"/>
      <c r="AD98" s="90"/>
      <c r="AE98" s="90"/>
      <c r="AF98" s="90"/>
      <c r="AG98" s="90"/>
      <c r="AH98" s="90"/>
      <c r="AI98" s="90"/>
      <c r="AJ98" s="90"/>
      <c r="AK98" s="90"/>
      <c r="AL98" s="90"/>
      <c r="AM98" s="90"/>
      <c r="AN98" s="90"/>
      <c r="AO98" s="90"/>
      <c r="AP98" s="90"/>
      <c r="AQ98" s="90"/>
      <c r="AR98" s="90"/>
      <c r="AS98" s="90"/>
      <c r="AT98" s="90"/>
      <c r="AU98" s="90"/>
      <c r="AV98" s="90"/>
      <c r="AW98" s="90"/>
      <c r="AX98" s="90"/>
      <c r="AY98" s="90"/>
      <c r="AZ98" s="90"/>
      <c r="BA98" s="90"/>
      <c r="BB98" s="90"/>
      <c r="BC98" s="90"/>
      <c r="BD98" s="90"/>
      <c r="BE98" s="90"/>
      <c r="BF98" s="90"/>
      <c r="BG98" s="90"/>
      <c r="BH98" s="90"/>
      <c r="BI98" s="90"/>
      <c r="BJ98" s="90"/>
      <c r="BK98" s="90"/>
      <c r="BL98" s="90"/>
      <c r="BM98" s="90"/>
      <c r="BN98" s="90"/>
      <c r="BO98" s="90"/>
      <c r="BP98" s="90"/>
      <c r="BQ98" s="90"/>
      <c r="BR98" s="90"/>
      <c r="BS98" s="90"/>
      <c r="BT98" s="90"/>
      <c r="BU98" s="90"/>
      <c r="BV98" s="90"/>
      <c r="BW98" s="90"/>
      <c r="BX98" s="90"/>
      <c r="BY98" s="90"/>
      <c r="BZ98" s="90"/>
      <c r="CA98" s="90"/>
      <c r="CB98" s="90"/>
      <c r="CC98" s="90"/>
      <c r="CD98" s="90"/>
      <c r="CE98" s="90"/>
      <c r="CF98" s="90"/>
      <c r="CG98" s="90"/>
      <c r="CH98" s="90"/>
      <c r="CI98" s="90"/>
      <c r="CJ98" s="90"/>
      <c r="CK98" s="90"/>
      <c r="CL98" s="90"/>
      <c r="CM98" s="90"/>
      <c r="CN98" s="90"/>
      <c r="CO98" s="90"/>
      <c r="CP98" s="90"/>
      <c r="CQ98" s="90"/>
      <c r="CR98" s="90"/>
      <c r="CS98" s="90"/>
      <c r="CT98" s="90"/>
      <c r="CU98" s="90"/>
      <c r="CV98" s="90"/>
      <c r="CW98" s="90"/>
      <c r="CX98" s="90"/>
      <c r="CY98" s="90"/>
      <c r="CZ98" s="90"/>
      <c r="DA98" s="90"/>
      <c r="DB98" s="90"/>
      <c r="DC98" s="90"/>
      <c r="DD98" s="90"/>
      <c r="DE98" s="90"/>
      <c r="DF98" s="90"/>
      <c r="DG98" s="90"/>
      <c r="DH98" s="90"/>
      <c r="DI98" s="90"/>
      <c r="DJ98" s="90"/>
      <c r="DK98" s="90"/>
      <c r="DL98" s="90"/>
      <c r="DM98" s="90"/>
      <c r="DN98" s="90"/>
      <c r="DO98" s="90"/>
      <c r="DP98" s="90"/>
      <c r="DQ98" s="90"/>
      <c r="DR98" s="90"/>
      <c r="DS98" s="90"/>
      <c r="DT98" s="90"/>
      <c r="DU98" s="90"/>
      <c r="DV98" s="90"/>
      <c r="DW98" s="90"/>
      <c r="DX98" s="90"/>
      <c r="DY98" s="90"/>
      <c r="DZ98" s="90"/>
      <c r="EA98" s="90"/>
      <c r="EB98" s="90"/>
      <c r="EC98" s="90"/>
    </row>
    <row r="99" spans="1:133" s="89" customFormat="1" ht="15" customHeight="1" x14ac:dyDescent="0.2">
      <c r="A99" s="92"/>
      <c r="B99" s="90"/>
      <c r="C99" s="90"/>
      <c r="D99" s="90"/>
      <c r="E99" s="90"/>
      <c r="F99" s="90"/>
      <c r="G99" s="90"/>
      <c r="H99" s="90"/>
      <c r="I99" s="90"/>
      <c r="J99" s="90"/>
      <c r="K99" s="90"/>
      <c r="L99" s="90"/>
      <c r="M99" s="90"/>
      <c r="N99" s="90"/>
      <c r="O99" s="90"/>
      <c r="P99" s="90"/>
      <c r="Q99" s="90"/>
      <c r="R99" s="90"/>
      <c r="S99" s="90"/>
      <c r="T99" s="90"/>
      <c r="U99" s="90"/>
      <c r="V99" s="90"/>
      <c r="W99" s="90"/>
      <c r="X99" s="90"/>
      <c r="Y99" s="90"/>
      <c r="Z99" s="90"/>
      <c r="AA99" s="90"/>
      <c r="AB99" s="90"/>
      <c r="AC99" s="90"/>
      <c r="AD99" s="90"/>
      <c r="AE99" s="90"/>
      <c r="AF99" s="90"/>
      <c r="AG99" s="90"/>
      <c r="AH99" s="90"/>
      <c r="AI99" s="90"/>
      <c r="AJ99" s="90"/>
      <c r="AK99" s="90"/>
      <c r="AL99" s="90"/>
      <c r="AM99" s="90"/>
      <c r="AN99" s="90"/>
      <c r="AO99" s="90"/>
      <c r="AP99" s="90"/>
      <c r="AQ99" s="90"/>
      <c r="AR99" s="90"/>
      <c r="AS99" s="90"/>
      <c r="AT99" s="90"/>
      <c r="AU99" s="90"/>
      <c r="AV99" s="90"/>
      <c r="AW99" s="90"/>
      <c r="AX99" s="90"/>
      <c r="AY99" s="90"/>
      <c r="AZ99" s="90"/>
      <c r="BA99" s="90"/>
      <c r="BB99" s="90"/>
      <c r="BC99" s="90"/>
      <c r="BD99" s="90"/>
      <c r="BE99" s="90"/>
      <c r="BF99" s="90"/>
      <c r="BG99" s="90"/>
      <c r="BH99" s="90"/>
      <c r="BI99" s="90"/>
      <c r="BJ99" s="90"/>
      <c r="BK99" s="90"/>
      <c r="BL99" s="90"/>
      <c r="BM99" s="90"/>
      <c r="BN99" s="90"/>
      <c r="BO99" s="90"/>
      <c r="BP99" s="90"/>
      <c r="BQ99" s="90"/>
      <c r="BR99" s="90"/>
      <c r="BS99" s="90"/>
      <c r="BT99" s="90"/>
      <c r="BU99" s="90"/>
      <c r="BV99" s="90"/>
      <c r="BW99" s="90"/>
      <c r="BX99" s="90"/>
      <c r="BY99" s="90"/>
      <c r="BZ99" s="90"/>
      <c r="CA99" s="90"/>
      <c r="CB99" s="90"/>
      <c r="CC99" s="90"/>
      <c r="CD99" s="90"/>
      <c r="CE99" s="90"/>
      <c r="CF99" s="90"/>
      <c r="CG99" s="90"/>
      <c r="CH99" s="90"/>
      <c r="CI99" s="90"/>
      <c r="CJ99" s="90"/>
      <c r="CK99" s="90"/>
      <c r="CL99" s="90"/>
      <c r="CM99" s="90"/>
      <c r="CN99" s="90"/>
      <c r="CO99" s="90"/>
      <c r="CP99" s="90"/>
      <c r="CQ99" s="90"/>
      <c r="CR99" s="90"/>
      <c r="CS99" s="90"/>
      <c r="CT99" s="90"/>
      <c r="CU99" s="90"/>
      <c r="CV99" s="90"/>
      <c r="CW99" s="90"/>
      <c r="CX99" s="90"/>
      <c r="CY99" s="90"/>
      <c r="CZ99" s="90"/>
      <c r="DA99" s="90"/>
      <c r="DB99" s="90"/>
      <c r="DC99" s="90"/>
      <c r="DD99" s="90"/>
      <c r="DE99" s="90"/>
      <c r="DF99" s="90"/>
      <c r="DG99" s="90"/>
      <c r="DH99" s="90"/>
      <c r="DI99" s="90"/>
      <c r="DJ99" s="90"/>
      <c r="DK99" s="90"/>
      <c r="DL99" s="90"/>
      <c r="DM99" s="90"/>
      <c r="DN99" s="90"/>
      <c r="DO99" s="90"/>
      <c r="DP99" s="90"/>
      <c r="DQ99" s="90"/>
      <c r="DR99" s="90"/>
      <c r="DS99" s="90"/>
      <c r="DT99" s="90"/>
      <c r="DU99" s="90"/>
      <c r="DV99" s="90"/>
      <c r="DW99" s="90"/>
      <c r="DX99" s="90"/>
      <c r="DY99" s="90"/>
      <c r="DZ99" s="90"/>
      <c r="EA99" s="90"/>
      <c r="EB99" s="90"/>
      <c r="EC99" s="90"/>
    </row>
    <row r="100" spans="1:133" s="89" customFormat="1" ht="15" customHeight="1" x14ac:dyDescent="0.2">
      <c r="A100" s="92"/>
      <c r="B100" s="90"/>
      <c r="C100" s="90"/>
      <c r="D100" s="90"/>
      <c r="E100" s="90"/>
      <c r="F100" s="90"/>
      <c r="G100" s="90"/>
      <c r="H100" s="90"/>
      <c r="I100" s="90"/>
      <c r="J100" s="90"/>
      <c r="K100" s="90"/>
      <c r="L100" s="90"/>
      <c r="M100" s="90"/>
      <c r="N100" s="90"/>
      <c r="O100" s="90"/>
      <c r="P100" s="90"/>
      <c r="Q100" s="90"/>
      <c r="R100" s="90"/>
      <c r="S100" s="90"/>
      <c r="T100" s="90"/>
      <c r="U100" s="90"/>
      <c r="V100" s="90"/>
      <c r="W100" s="90"/>
      <c r="X100" s="90"/>
      <c r="Y100" s="90"/>
      <c r="Z100" s="90"/>
      <c r="AA100" s="90"/>
      <c r="AB100" s="90"/>
      <c r="AC100" s="90"/>
      <c r="AD100" s="90"/>
      <c r="AE100" s="90"/>
      <c r="AF100" s="90"/>
      <c r="AG100" s="90"/>
      <c r="AH100" s="90"/>
      <c r="AI100" s="90"/>
      <c r="AJ100" s="90"/>
      <c r="AK100" s="90"/>
      <c r="AL100" s="90"/>
      <c r="AM100" s="90"/>
      <c r="AN100" s="90"/>
      <c r="AO100" s="90"/>
      <c r="AP100" s="90"/>
      <c r="AQ100" s="90"/>
      <c r="AR100" s="90"/>
      <c r="AS100" s="90"/>
      <c r="AT100" s="90"/>
      <c r="AU100" s="90"/>
      <c r="AV100" s="90"/>
      <c r="AW100" s="90"/>
      <c r="AX100" s="90"/>
      <c r="AY100" s="90"/>
      <c r="AZ100" s="90"/>
      <c r="BA100" s="90"/>
      <c r="BB100" s="90"/>
      <c r="BC100" s="90"/>
      <c r="BD100" s="90"/>
      <c r="BE100" s="90"/>
      <c r="BF100" s="90"/>
      <c r="BG100" s="90"/>
      <c r="BH100" s="90"/>
      <c r="BI100" s="90"/>
      <c r="BJ100" s="90"/>
      <c r="BK100" s="90"/>
      <c r="BL100" s="90"/>
      <c r="BM100" s="90"/>
      <c r="BN100" s="90"/>
      <c r="BO100" s="90"/>
      <c r="BP100" s="90"/>
      <c r="BQ100" s="90"/>
      <c r="BR100" s="90"/>
      <c r="BS100" s="90"/>
      <c r="BT100" s="90"/>
      <c r="BU100" s="90"/>
      <c r="BV100" s="90"/>
      <c r="BW100" s="90"/>
      <c r="BX100" s="90"/>
      <c r="BY100" s="90"/>
      <c r="BZ100" s="90"/>
      <c r="CA100" s="90"/>
      <c r="CB100" s="90"/>
      <c r="CC100" s="90"/>
      <c r="CD100" s="90"/>
      <c r="CE100" s="90"/>
      <c r="CF100" s="90"/>
      <c r="CG100" s="90"/>
      <c r="CH100" s="90"/>
      <c r="CI100" s="90"/>
      <c r="CJ100" s="90"/>
      <c r="CK100" s="90"/>
      <c r="CL100" s="90"/>
      <c r="CM100" s="90"/>
      <c r="CN100" s="90"/>
      <c r="CO100" s="90"/>
      <c r="CP100" s="90"/>
      <c r="CQ100" s="90"/>
      <c r="CR100" s="90"/>
      <c r="CS100" s="90"/>
      <c r="CT100" s="90"/>
      <c r="CU100" s="90"/>
      <c r="CV100" s="90"/>
      <c r="CW100" s="90"/>
      <c r="CX100" s="90"/>
      <c r="CY100" s="90"/>
      <c r="CZ100" s="90"/>
      <c r="DA100" s="90"/>
      <c r="DB100" s="90"/>
      <c r="DC100" s="90"/>
      <c r="DD100" s="90"/>
      <c r="DE100" s="90"/>
      <c r="DF100" s="90"/>
      <c r="DG100" s="90"/>
      <c r="DH100" s="90"/>
      <c r="DI100" s="90"/>
      <c r="DJ100" s="90"/>
      <c r="DK100" s="90"/>
      <c r="DL100" s="90"/>
      <c r="DM100" s="90"/>
      <c r="DN100" s="90"/>
      <c r="DO100" s="90"/>
      <c r="DP100" s="90"/>
      <c r="DQ100" s="90"/>
      <c r="DR100" s="90"/>
      <c r="DS100" s="90"/>
      <c r="DT100" s="90"/>
      <c r="DU100" s="90"/>
      <c r="DV100" s="90"/>
      <c r="DW100" s="90"/>
      <c r="DX100" s="90"/>
      <c r="DY100" s="90"/>
      <c r="DZ100" s="90"/>
      <c r="EA100" s="90"/>
      <c r="EB100" s="90"/>
      <c r="EC100" s="90"/>
    </row>
    <row r="101" spans="1:133" s="89" customFormat="1" ht="15" customHeight="1" x14ac:dyDescent="0.2">
      <c r="A101" s="92"/>
      <c r="B101" s="90"/>
      <c r="C101" s="90"/>
      <c r="D101" s="90"/>
      <c r="E101" s="90"/>
      <c r="F101" s="90"/>
      <c r="G101" s="90"/>
      <c r="H101" s="90"/>
      <c r="I101" s="90"/>
      <c r="J101" s="90"/>
      <c r="K101" s="90"/>
      <c r="L101" s="90"/>
      <c r="M101" s="90"/>
      <c r="N101" s="90"/>
      <c r="O101" s="90"/>
      <c r="P101" s="90"/>
      <c r="Q101" s="90"/>
      <c r="R101" s="90"/>
      <c r="S101" s="90"/>
      <c r="T101" s="90"/>
      <c r="U101" s="90"/>
      <c r="V101" s="90"/>
      <c r="W101" s="90"/>
      <c r="X101" s="90"/>
      <c r="Y101" s="90"/>
      <c r="Z101" s="90"/>
      <c r="AA101" s="90"/>
      <c r="AB101" s="90"/>
      <c r="AC101" s="90"/>
      <c r="AD101" s="90"/>
      <c r="AE101" s="90"/>
      <c r="AF101" s="90"/>
      <c r="AG101" s="90"/>
      <c r="AH101" s="90"/>
      <c r="AI101" s="90"/>
      <c r="AJ101" s="90"/>
      <c r="AK101" s="90"/>
      <c r="AL101" s="90"/>
      <c r="AM101" s="90"/>
      <c r="AN101" s="90"/>
      <c r="AO101" s="90"/>
      <c r="AP101" s="90"/>
      <c r="AQ101" s="90"/>
      <c r="AR101" s="90"/>
      <c r="AS101" s="90"/>
      <c r="AT101" s="90"/>
      <c r="AU101" s="90"/>
      <c r="AV101" s="90"/>
      <c r="AW101" s="90"/>
      <c r="AX101" s="90"/>
      <c r="AY101" s="90"/>
      <c r="AZ101" s="90"/>
      <c r="BA101" s="90"/>
      <c r="BB101" s="90"/>
      <c r="BC101" s="90"/>
      <c r="BD101" s="90"/>
      <c r="BE101" s="90"/>
      <c r="BF101" s="90"/>
      <c r="BG101" s="90"/>
      <c r="BH101" s="90"/>
      <c r="BI101" s="90"/>
      <c r="BJ101" s="90"/>
      <c r="BK101" s="90"/>
      <c r="BL101" s="90"/>
      <c r="BM101" s="90"/>
      <c r="BN101" s="90"/>
      <c r="BO101" s="90"/>
      <c r="BP101" s="90"/>
      <c r="BQ101" s="90"/>
      <c r="BR101" s="90"/>
      <c r="BS101" s="90"/>
      <c r="BT101" s="90"/>
      <c r="BU101" s="90"/>
      <c r="BV101" s="90"/>
      <c r="BW101" s="90"/>
      <c r="BX101" s="90"/>
      <c r="BY101" s="90"/>
      <c r="BZ101" s="90"/>
      <c r="CA101" s="90"/>
      <c r="CB101" s="90"/>
      <c r="CC101" s="90"/>
      <c r="CD101" s="90"/>
      <c r="CE101" s="90"/>
      <c r="CF101" s="90"/>
      <c r="CG101" s="90"/>
      <c r="CH101" s="90"/>
      <c r="CI101" s="90"/>
      <c r="CJ101" s="90"/>
      <c r="CK101" s="90"/>
      <c r="CL101" s="90"/>
      <c r="CM101" s="90"/>
      <c r="CN101" s="90"/>
      <c r="CO101" s="90"/>
      <c r="CP101" s="90"/>
      <c r="CQ101" s="90"/>
      <c r="CR101" s="90"/>
      <c r="CS101" s="90"/>
      <c r="CT101" s="90"/>
      <c r="CU101" s="90"/>
      <c r="CV101" s="90"/>
      <c r="CW101" s="90"/>
      <c r="CX101" s="90"/>
      <c r="CY101" s="90"/>
      <c r="CZ101" s="90"/>
      <c r="DA101" s="90"/>
      <c r="DB101" s="90"/>
      <c r="DC101" s="90"/>
      <c r="DD101" s="90"/>
      <c r="DE101" s="90"/>
      <c r="DF101" s="90"/>
      <c r="DG101" s="90"/>
      <c r="DH101" s="90"/>
      <c r="DI101" s="90"/>
      <c r="DJ101" s="90"/>
      <c r="DK101" s="90"/>
      <c r="DL101" s="90"/>
      <c r="DM101" s="90"/>
      <c r="DN101" s="90"/>
      <c r="DO101" s="90"/>
      <c r="DP101" s="90"/>
      <c r="DQ101" s="90"/>
      <c r="DR101" s="90"/>
      <c r="DS101" s="90"/>
      <c r="DT101" s="90"/>
      <c r="DU101" s="90"/>
      <c r="DV101" s="90"/>
      <c r="DW101" s="90"/>
      <c r="DX101" s="90"/>
      <c r="DY101" s="90"/>
      <c r="DZ101" s="90"/>
      <c r="EA101" s="90"/>
      <c r="EB101" s="90"/>
      <c r="EC101" s="90"/>
    </row>
    <row r="102" spans="1:133" s="89" customFormat="1" ht="15" customHeight="1" x14ac:dyDescent="0.2">
      <c r="A102" s="92"/>
      <c r="B102" s="90"/>
      <c r="C102" s="90"/>
      <c r="D102" s="90"/>
      <c r="E102" s="90"/>
      <c r="F102" s="90"/>
      <c r="G102" s="90"/>
      <c r="H102" s="90"/>
      <c r="I102" s="90"/>
      <c r="J102" s="90"/>
      <c r="K102" s="90"/>
      <c r="L102" s="90"/>
      <c r="M102" s="90"/>
      <c r="N102" s="90"/>
      <c r="O102" s="90"/>
      <c r="P102" s="90"/>
      <c r="Q102" s="90"/>
      <c r="R102" s="90"/>
      <c r="S102" s="90"/>
      <c r="T102" s="90"/>
      <c r="U102" s="90"/>
      <c r="V102" s="90"/>
      <c r="W102" s="90"/>
      <c r="X102" s="90"/>
      <c r="Y102" s="90"/>
      <c r="Z102" s="90"/>
      <c r="AA102" s="90"/>
      <c r="AB102" s="90"/>
      <c r="AC102" s="90"/>
      <c r="AD102" s="90"/>
      <c r="AE102" s="90"/>
      <c r="AF102" s="90"/>
      <c r="AG102" s="90"/>
      <c r="AH102" s="90"/>
      <c r="AI102" s="90"/>
      <c r="AJ102" s="90"/>
      <c r="AK102" s="90"/>
      <c r="AL102" s="90"/>
      <c r="AM102" s="90"/>
      <c r="AN102" s="90"/>
      <c r="AO102" s="90"/>
      <c r="AP102" s="90"/>
      <c r="AQ102" s="90"/>
      <c r="AR102" s="90"/>
      <c r="AS102" s="90"/>
      <c r="AT102" s="90"/>
      <c r="AU102" s="90"/>
      <c r="AV102" s="90"/>
      <c r="AW102" s="90"/>
      <c r="AX102" s="90"/>
      <c r="AY102" s="90"/>
      <c r="AZ102" s="90"/>
      <c r="BA102" s="90"/>
      <c r="BB102" s="90"/>
      <c r="BC102" s="90"/>
      <c r="BD102" s="90"/>
      <c r="BE102" s="90"/>
      <c r="BF102" s="90"/>
      <c r="BG102" s="90"/>
      <c r="BH102" s="90"/>
      <c r="BI102" s="90"/>
      <c r="BJ102" s="90"/>
      <c r="BK102" s="90"/>
      <c r="BL102" s="90"/>
      <c r="BM102" s="90"/>
      <c r="BN102" s="90"/>
      <c r="BO102" s="90"/>
      <c r="BP102" s="90"/>
      <c r="BQ102" s="90"/>
      <c r="BR102" s="90"/>
      <c r="BS102" s="90"/>
      <c r="BT102" s="90"/>
      <c r="BU102" s="90"/>
      <c r="BV102" s="90"/>
      <c r="BW102" s="90"/>
      <c r="BX102" s="90"/>
      <c r="BY102" s="90"/>
      <c r="BZ102" s="90"/>
      <c r="CA102" s="90"/>
      <c r="CB102" s="90"/>
      <c r="CC102" s="90"/>
      <c r="CD102" s="90"/>
      <c r="CE102" s="90"/>
      <c r="CF102" s="90"/>
      <c r="CG102" s="90"/>
      <c r="CH102" s="90"/>
      <c r="CI102" s="90"/>
      <c r="CJ102" s="90"/>
      <c r="CK102" s="90"/>
      <c r="CL102" s="90"/>
      <c r="CM102" s="90"/>
      <c r="CN102" s="90"/>
      <c r="CO102" s="90"/>
      <c r="CP102" s="90"/>
      <c r="CQ102" s="90"/>
      <c r="CR102" s="90"/>
      <c r="CS102" s="90"/>
      <c r="CT102" s="90"/>
      <c r="CU102" s="90"/>
      <c r="CV102" s="90"/>
      <c r="CW102" s="90"/>
      <c r="CX102" s="90"/>
      <c r="CY102" s="90"/>
      <c r="CZ102" s="90"/>
      <c r="DA102" s="90"/>
      <c r="DB102" s="90"/>
      <c r="DC102" s="90"/>
      <c r="DD102" s="90"/>
      <c r="DE102" s="90"/>
      <c r="DF102" s="90"/>
      <c r="DG102" s="90"/>
      <c r="DH102" s="90"/>
      <c r="DI102" s="90"/>
      <c r="DJ102" s="90"/>
      <c r="DK102" s="90"/>
      <c r="DL102" s="90"/>
      <c r="DM102" s="90"/>
      <c r="DN102" s="90"/>
      <c r="DO102" s="90"/>
      <c r="DP102" s="90"/>
      <c r="DQ102" s="90"/>
      <c r="DR102" s="90"/>
      <c r="DS102" s="90"/>
      <c r="DT102" s="90"/>
      <c r="DU102" s="90"/>
      <c r="DV102" s="90"/>
      <c r="DW102" s="90"/>
      <c r="DX102" s="90"/>
      <c r="DY102" s="90"/>
      <c r="DZ102" s="90"/>
      <c r="EA102" s="90"/>
      <c r="EB102" s="90"/>
      <c r="EC102" s="90"/>
    </row>
    <row r="103" spans="1:133" s="89" customFormat="1" ht="15" customHeight="1" x14ac:dyDescent="0.2">
      <c r="A103" s="92"/>
      <c r="B103" s="90"/>
      <c r="C103" s="90"/>
      <c r="D103" s="90"/>
      <c r="E103" s="90"/>
      <c r="F103" s="90"/>
      <c r="G103" s="90"/>
      <c r="H103" s="90"/>
      <c r="I103" s="90"/>
      <c r="J103" s="90"/>
      <c r="K103" s="90"/>
      <c r="L103" s="90"/>
      <c r="M103" s="90"/>
      <c r="N103" s="90"/>
      <c r="O103" s="90"/>
      <c r="P103" s="90"/>
      <c r="Q103" s="90"/>
      <c r="R103" s="90"/>
      <c r="S103" s="90"/>
      <c r="T103" s="90"/>
      <c r="U103" s="90"/>
      <c r="V103" s="90"/>
      <c r="W103" s="90"/>
      <c r="X103" s="90"/>
      <c r="Y103" s="90"/>
      <c r="Z103" s="90"/>
      <c r="AA103" s="90"/>
      <c r="AB103" s="90"/>
      <c r="AC103" s="90"/>
      <c r="AD103" s="90"/>
      <c r="AE103" s="90"/>
      <c r="AF103" s="90"/>
      <c r="AG103" s="90"/>
      <c r="AH103" s="90"/>
      <c r="AI103" s="90"/>
      <c r="AJ103" s="90"/>
      <c r="AK103" s="90"/>
      <c r="AL103" s="90"/>
      <c r="AM103" s="90"/>
      <c r="AN103" s="90"/>
      <c r="AO103" s="90"/>
      <c r="AP103" s="90"/>
      <c r="AQ103" s="90"/>
      <c r="AR103" s="90"/>
      <c r="AS103" s="90"/>
      <c r="AT103" s="90"/>
      <c r="AU103" s="90"/>
      <c r="AV103" s="90"/>
      <c r="AW103" s="90"/>
      <c r="AX103" s="90"/>
      <c r="AY103" s="90"/>
      <c r="AZ103" s="90"/>
      <c r="BA103" s="90"/>
      <c r="BB103" s="90"/>
      <c r="BC103" s="90"/>
      <c r="BD103" s="90"/>
      <c r="BE103" s="90"/>
      <c r="BF103" s="90"/>
      <c r="BG103" s="90"/>
      <c r="BH103" s="90"/>
      <c r="BI103" s="90"/>
      <c r="BJ103" s="90"/>
      <c r="BK103" s="90"/>
      <c r="BL103" s="90"/>
      <c r="BM103" s="90"/>
      <c r="BN103" s="90"/>
      <c r="BO103" s="90"/>
      <c r="BP103" s="90"/>
      <c r="BQ103" s="90"/>
      <c r="BR103" s="90"/>
      <c r="BS103" s="90"/>
      <c r="BT103" s="90"/>
      <c r="BU103" s="90"/>
      <c r="BV103" s="90"/>
      <c r="BW103" s="90"/>
      <c r="BX103" s="90"/>
      <c r="BY103" s="90"/>
      <c r="BZ103" s="90"/>
      <c r="CA103" s="90"/>
      <c r="CB103" s="90"/>
      <c r="CC103" s="90"/>
      <c r="CD103" s="90"/>
      <c r="CE103" s="90"/>
      <c r="CF103" s="90"/>
      <c r="CG103" s="90"/>
      <c r="CH103" s="90"/>
      <c r="CI103" s="90"/>
      <c r="CJ103" s="90"/>
      <c r="CK103" s="90"/>
      <c r="CL103" s="90"/>
      <c r="CM103" s="90"/>
      <c r="CN103" s="90"/>
      <c r="CO103" s="90"/>
      <c r="CP103" s="90"/>
      <c r="CQ103" s="90"/>
      <c r="CR103" s="90"/>
      <c r="CS103" s="90"/>
      <c r="CT103" s="90"/>
      <c r="CU103" s="90"/>
      <c r="CV103" s="90"/>
      <c r="CW103" s="90"/>
      <c r="CX103" s="90"/>
      <c r="CY103" s="90"/>
      <c r="CZ103" s="90"/>
      <c r="DA103" s="90"/>
      <c r="DB103" s="90"/>
      <c r="DC103" s="90"/>
      <c r="DD103" s="90"/>
      <c r="DE103" s="90"/>
      <c r="DF103" s="90"/>
      <c r="DG103" s="90"/>
      <c r="DH103" s="90"/>
      <c r="DI103" s="90"/>
      <c r="DJ103" s="90"/>
      <c r="DK103" s="90"/>
      <c r="DL103" s="90"/>
      <c r="DM103" s="90"/>
      <c r="DN103" s="90"/>
      <c r="DO103" s="90"/>
      <c r="DP103" s="90"/>
      <c r="DQ103" s="90"/>
      <c r="DR103" s="90"/>
      <c r="DS103" s="90"/>
      <c r="DT103" s="90"/>
      <c r="DU103" s="90"/>
      <c r="DV103" s="90"/>
      <c r="DW103" s="90"/>
      <c r="DX103" s="90"/>
      <c r="DY103" s="90"/>
      <c r="DZ103" s="90"/>
      <c r="EA103" s="90"/>
      <c r="EB103" s="90"/>
      <c r="EC103" s="90"/>
    </row>
    <row r="104" spans="1:133" s="89" customFormat="1" ht="15" customHeight="1" x14ac:dyDescent="0.2">
      <c r="A104" s="92"/>
      <c r="B104" s="90"/>
      <c r="C104" s="90"/>
      <c r="D104" s="90"/>
      <c r="E104" s="90"/>
      <c r="F104" s="90"/>
      <c r="G104" s="90"/>
      <c r="H104" s="90"/>
      <c r="I104" s="90"/>
      <c r="J104" s="90"/>
      <c r="K104" s="90"/>
      <c r="L104" s="90"/>
      <c r="M104" s="90"/>
      <c r="N104" s="90"/>
      <c r="O104" s="90"/>
      <c r="P104" s="90"/>
      <c r="Q104" s="90"/>
      <c r="R104" s="90"/>
      <c r="S104" s="90"/>
      <c r="T104" s="90"/>
      <c r="U104" s="90"/>
      <c r="V104" s="90"/>
      <c r="W104" s="90"/>
      <c r="X104" s="90"/>
      <c r="Y104" s="90"/>
      <c r="Z104" s="90"/>
      <c r="AA104" s="90"/>
      <c r="AB104" s="90"/>
      <c r="AC104" s="90"/>
      <c r="AD104" s="90"/>
      <c r="AE104" s="90"/>
      <c r="AF104" s="90"/>
      <c r="AG104" s="90"/>
      <c r="AH104" s="90"/>
      <c r="AI104" s="90"/>
      <c r="AJ104" s="90"/>
      <c r="AK104" s="90"/>
      <c r="AL104" s="90"/>
      <c r="AM104" s="90"/>
      <c r="AN104" s="90"/>
      <c r="AO104" s="90"/>
      <c r="AP104" s="90"/>
      <c r="AQ104" s="90"/>
      <c r="AR104" s="90"/>
      <c r="AS104" s="90"/>
      <c r="AT104" s="90"/>
      <c r="AU104" s="90"/>
      <c r="AV104" s="90"/>
      <c r="AW104" s="90"/>
      <c r="AX104" s="90"/>
      <c r="AY104" s="90"/>
      <c r="AZ104" s="90"/>
      <c r="BA104" s="90"/>
      <c r="BB104" s="90"/>
      <c r="BC104" s="90"/>
      <c r="BD104" s="90"/>
      <c r="BE104" s="90"/>
      <c r="BF104" s="90"/>
      <c r="BG104" s="90"/>
      <c r="BH104" s="90"/>
      <c r="BI104" s="90"/>
      <c r="BJ104" s="90"/>
      <c r="BK104" s="90"/>
      <c r="BL104" s="90"/>
      <c r="BM104" s="90"/>
      <c r="BN104" s="90"/>
      <c r="BO104" s="90"/>
      <c r="BP104" s="90"/>
      <c r="BQ104" s="90"/>
      <c r="BR104" s="90"/>
      <c r="BS104" s="90"/>
      <c r="BT104" s="90"/>
      <c r="BU104" s="90"/>
      <c r="BV104" s="90"/>
      <c r="BW104" s="90"/>
      <c r="BX104" s="90"/>
      <c r="BY104" s="90"/>
      <c r="BZ104" s="90"/>
      <c r="CA104" s="90"/>
      <c r="CB104" s="90"/>
      <c r="CC104" s="90"/>
      <c r="CD104" s="90"/>
      <c r="CE104" s="90"/>
      <c r="CF104" s="90"/>
      <c r="CG104" s="90"/>
      <c r="CH104" s="90"/>
      <c r="CI104" s="90"/>
      <c r="CJ104" s="90"/>
      <c r="CK104" s="90"/>
      <c r="CL104" s="90"/>
      <c r="CM104" s="90"/>
      <c r="CN104" s="90"/>
      <c r="CO104" s="90"/>
      <c r="CP104" s="90"/>
      <c r="CQ104" s="90"/>
      <c r="CR104" s="90"/>
      <c r="CS104" s="90"/>
      <c r="CT104" s="90"/>
      <c r="CU104" s="90"/>
      <c r="CV104" s="90"/>
      <c r="CW104" s="90"/>
      <c r="CX104" s="90"/>
      <c r="CY104" s="90"/>
      <c r="CZ104" s="90"/>
      <c r="DA104" s="90"/>
      <c r="DB104" s="90"/>
      <c r="DC104" s="90"/>
      <c r="DD104" s="90"/>
      <c r="DE104" s="90"/>
      <c r="DF104" s="90"/>
      <c r="DG104" s="90"/>
      <c r="DH104" s="90"/>
      <c r="DI104" s="90"/>
      <c r="DJ104" s="90"/>
      <c r="DK104" s="90"/>
      <c r="DL104" s="90"/>
      <c r="DM104" s="90"/>
      <c r="DN104" s="90"/>
      <c r="DO104" s="90"/>
      <c r="DP104" s="90"/>
      <c r="DQ104" s="90"/>
      <c r="DR104" s="90"/>
      <c r="DS104" s="90"/>
      <c r="DT104" s="90"/>
      <c r="DU104" s="90"/>
      <c r="DV104" s="90"/>
      <c r="DW104" s="90"/>
      <c r="DX104" s="90"/>
      <c r="DY104" s="90"/>
      <c r="DZ104" s="90"/>
      <c r="EA104" s="90"/>
      <c r="EB104" s="90"/>
      <c r="EC104" s="90"/>
    </row>
    <row r="105" spans="1:133" s="89" customFormat="1" ht="15" customHeight="1" x14ac:dyDescent="0.2">
      <c r="A105" s="92"/>
      <c r="B105" s="90"/>
      <c r="C105" s="90"/>
      <c r="D105" s="90"/>
      <c r="E105" s="90"/>
      <c r="F105" s="90"/>
      <c r="G105" s="90"/>
      <c r="H105" s="90"/>
      <c r="I105" s="90"/>
      <c r="J105" s="90"/>
      <c r="K105" s="90"/>
      <c r="L105" s="90"/>
      <c r="M105" s="90"/>
      <c r="N105" s="90"/>
      <c r="O105" s="90"/>
      <c r="P105" s="90"/>
      <c r="Q105" s="90"/>
      <c r="R105" s="90"/>
      <c r="S105" s="90"/>
      <c r="T105" s="90"/>
      <c r="U105" s="90"/>
      <c r="V105" s="90"/>
      <c r="W105" s="90"/>
      <c r="X105" s="90"/>
      <c r="Y105" s="90"/>
      <c r="Z105" s="90"/>
      <c r="AA105" s="90"/>
      <c r="AB105" s="90"/>
      <c r="AC105" s="90"/>
      <c r="AD105" s="90"/>
      <c r="AE105" s="90"/>
      <c r="AF105" s="90"/>
      <c r="AG105" s="90"/>
      <c r="AH105" s="90"/>
      <c r="AI105" s="90"/>
      <c r="AJ105" s="90"/>
      <c r="AK105" s="90"/>
      <c r="AL105" s="90"/>
      <c r="AM105" s="90"/>
      <c r="AN105" s="90"/>
      <c r="AO105" s="90"/>
      <c r="AP105" s="90"/>
      <c r="AQ105" s="90"/>
      <c r="AR105" s="90"/>
      <c r="AS105" s="90"/>
      <c r="AT105" s="90"/>
      <c r="AU105" s="90"/>
      <c r="AV105" s="90"/>
      <c r="AW105" s="90"/>
      <c r="AX105" s="90"/>
      <c r="AY105" s="90"/>
      <c r="AZ105" s="90"/>
      <c r="BA105" s="90"/>
      <c r="BB105" s="90"/>
      <c r="BC105" s="90"/>
      <c r="BD105" s="90"/>
      <c r="BE105" s="90"/>
      <c r="BF105" s="90"/>
      <c r="BG105" s="90"/>
      <c r="BH105" s="90"/>
      <c r="BI105" s="90"/>
      <c r="BJ105" s="90"/>
      <c r="BK105" s="90"/>
      <c r="BL105" s="90"/>
      <c r="BM105" s="90"/>
      <c r="BN105" s="90"/>
      <c r="BO105" s="90"/>
      <c r="BP105" s="90"/>
      <c r="BQ105" s="90"/>
      <c r="BR105" s="90"/>
      <c r="BS105" s="90"/>
      <c r="BT105" s="90"/>
      <c r="BU105" s="90"/>
      <c r="BV105" s="90"/>
      <c r="BW105" s="90"/>
      <c r="BX105" s="90"/>
      <c r="BY105" s="90"/>
      <c r="BZ105" s="90"/>
      <c r="CA105" s="90"/>
      <c r="CB105" s="90"/>
      <c r="CC105" s="90"/>
      <c r="CD105" s="90"/>
      <c r="CE105" s="90"/>
      <c r="CF105" s="90"/>
      <c r="CG105" s="90"/>
      <c r="CH105" s="90"/>
      <c r="CI105" s="90"/>
      <c r="CJ105" s="90"/>
      <c r="CK105" s="90"/>
      <c r="CL105" s="90"/>
      <c r="CM105" s="90"/>
      <c r="CN105" s="90"/>
      <c r="CO105" s="90"/>
      <c r="CP105" s="90"/>
      <c r="CQ105" s="90"/>
      <c r="CR105" s="90"/>
      <c r="CS105" s="90"/>
      <c r="CT105" s="90"/>
      <c r="CU105" s="90"/>
      <c r="CV105" s="90"/>
      <c r="CW105" s="90"/>
      <c r="CX105" s="90"/>
      <c r="CY105" s="90"/>
      <c r="CZ105" s="90"/>
      <c r="DA105" s="90"/>
      <c r="DB105" s="90"/>
      <c r="DC105" s="90"/>
      <c r="DD105" s="90"/>
      <c r="DE105" s="90"/>
      <c r="DF105" s="90"/>
      <c r="DG105" s="90"/>
      <c r="DH105" s="90"/>
      <c r="DI105" s="90"/>
      <c r="DJ105" s="90"/>
      <c r="DK105" s="90"/>
      <c r="DL105" s="90"/>
      <c r="DM105" s="90"/>
      <c r="DN105" s="90"/>
      <c r="DO105" s="90"/>
      <c r="DP105" s="90"/>
      <c r="DQ105" s="90"/>
      <c r="DR105" s="90"/>
      <c r="DS105" s="90"/>
      <c r="DT105" s="90"/>
      <c r="DU105" s="90"/>
      <c r="DV105" s="90"/>
      <c r="DW105" s="90"/>
      <c r="DX105" s="90"/>
      <c r="DY105" s="90"/>
      <c r="DZ105" s="90"/>
      <c r="EA105" s="90"/>
      <c r="EB105" s="90"/>
      <c r="EC105" s="90"/>
    </row>
    <row r="106" spans="1:133" s="89" customFormat="1" ht="15" customHeight="1" x14ac:dyDescent="0.2">
      <c r="A106" s="92"/>
      <c r="B106" s="90"/>
      <c r="C106" s="90"/>
      <c r="D106" s="90"/>
      <c r="E106" s="90"/>
      <c r="F106" s="90"/>
      <c r="G106" s="90"/>
      <c r="H106" s="90"/>
      <c r="I106" s="90"/>
      <c r="J106" s="90"/>
      <c r="K106" s="90"/>
      <c r="L106" s="90"/>
      <c r="M106" s="90"/>
      <c r="N106" s="90"/>
      <c r="O106" s="90"/>
      <c r="P106" s="90"/>
      <c r="Q106" s="90"/>
      <c r="R106" s="90"/>
      <c r="S106" s="90"/>
      <c r="T106" s="90"/>
      <c r="U106" s="90"/>
      <c r="V106" s="90"/>
      <c r="W106" s="90"/>
      <c r="X106" s="90"/>
      <c r="Y106" s="90"/>
      <c r="Z106" s="90"/>
      <c r="AA106" s="90"/>
      <c r="AB106" s="90"/>
      <c r="AC106" s="90"/>
      <c r="AD106" s="90"/>
      <c r="AE106" s="90"/>
      <c r="AF106" s="90"/>
      <c r="AG106" s="90"/>
      <c r="AH106" s="90"/>
      <c r="AI106" s="90"/>
      <c r="AJ106" s="90"/>
      <c r="AK106" s="90"/>
      <c r="AL106" s="90"/>
      <c r="AM106" s="90"/>
      <c r="AN106" s="90"/>
      <c r="AO106" s="90"/>
      <c r="AP106" s="90"/>
      <c r="AQ106" s="90"/>
      <c r="AR106" s="90"/>
      <c r="AS106" s="90"/>
      <c r="AT106" s="90"/>
      <c r="AU106" s="90"/>
      <c r="AV106" s="90"/>
      <c r="AW106" s="90"/>
      <c r="AX106" s="90"/>
      <c r="AY106" s="90"/>
      <c r="AZ106" s="90"/>
      <c r="BA106" s="90"/>
      <c r="BB106" s="90"/>
      <c r="BC106" s="90"/>
      <c r="BD106" s="90"/>
      <c r="BE106" s="90"/>
      <c r="BF106" s="90"/>
      <c r="BG106" s="90"/>
      <c r="BH106" s="90"/>
      <c r="BI106" s="90"/>
      <c r="BJ106" s="90"/>
      <c r="BK106" s="90"/>
      <c r="BL106" s="90"/>
      <c r="BM106" s="90"/>
      <c r="BN106" s="90"/>
      <c r="BO106" s="90"/>
      <c r="BP106" s="90"/>
      <c r="BQ106" s="90"/>
      <c r="BR106" s="90"/>
      <c r="BS106" s="90"/>
      <c r="BT106" s="90"/>
      <c r="BU106" s="90"/>
      <c r="BV106" s="90"/>
      <c r="BW106" s="90"/>
      <c r="BX106" s="90"/>
      <c r="BY106" s="90"/>
      <c r="BZ106" s="90"/>
      <c r="CA106" s="90"/>
      <c r="CB106" s="90"/>
      <c r="CC106" s="90"/>
      <c r="CD106" s="90"/>
      <c r="CE106" s="90"/>
      <c r="CF106" s="90"/>
      <c r="CG106" s="90"/>
      <c r="CH106" s="90"/>
      <c r="CI106" s="90"/>
      <c r="CJ106" s="90"/>
      <c r="CK106" s="90"/>
      <c r="CL106" s="90"/>
      <c r="CM106" s="90"/>
      <c r="CN106" s="90"/>
      <c r="CO106" s="90"/>
      <c r="CP106" s="90"/>
      <c r="CQ106" s="90"/>
      <c r="CR106" s="90"/>
      <c r="CS106" s="90"/>
      <c r="CT106" s="90"/>
      <c r="CU106" s="90"/>
      <c r="CV106" s="90"/>
      <c r="CW106" s="90"/>
      <c r="CX106" s="90"/>
      <c r="CY106" s="90"/>
      <c r="CZ106" s="90"/>
      <c r="DA106" s="90"/>
      <c r="DB106" s="90"/>
      <c r="DC106" s="90"/>
      <c r="DD106" s="90"/>
      <c r="DE106" s="90"/>
      <c r="DF106" s="90"/>
      <c r="DG106" s="90"/>
      <c r="DH106" s="90"/>
      <c r="DI106" s="90"/>
      <c r="DJ106" s="90"/>
      <c r="DK106" s="90"/>
      <c r="DL106" s="90"/>
      <c r="DM106" s="90"/>
      <c r="DN106" s="90"/>
      <c r="DO106" s="90"/>
      <c r="DP106" s="90"/>
      <c r="DQ106" s="90"/>
      <c r="DR106" s="90"/>
      <c r="DS106" s="90"/>
      <c r="DT106" s="90"/>
      <c r="DU106" s="90"/>
      <c r="DV106" s="90"/>
      <c r="DW106" s="90"/>
      <c r="DX106" s="90"/>
      <c r="DY106" s="90"/>
      <c r="DZ106" s="90"/>
      <c r="EA106" s="90"/>
      <c r="EB106" s="90"/>
      <c r="EC106" s="90"/>
    </row>
    <row r="107" spans="1:133" s="89" customFormat="1" ht="15" customHeight="1" x14ac:dyDescent="0.2">
      <c r="A107" s="92"/>
      <c r="B107" s="90"/>
      <c r="C107" s="90"/>
      <c r="D107" s="90"/>
      <c r="E107" s="90"/>
      <c r="F107" s="90"/>
      <c r="G107" s="90"/>
      <c r="H107" s="90"/>
      <c r="I107" s="90"/>
      <c r="J107" s="90"/>
      <c r="K107" s="90"/>
      <c r="L107" s="90"/>
      <c r="M107" s="90"/>
      <c r="N107" s="90"/>
      <c r="O107" s="90"/>
      <c r="P107" s="90"/>
      <c r="Q107" s="90"/>
      <c r="R107" s="90"/>
      <c r="S107" s="90"/>
      <c r="T107" s="90"/>
      <c r="U107" s="90"/>
      <c r="V107" s="90"/>
      <c r="W107" s="90"/>
      <c r="X107" s="90"/>
      <c r="Y107" s="90"/>
      <c r="Z107" s="90"/>
      <c r="AA107" s="90"/>
      <c r="AB107" s="90"/>
      <c r="AC107" s="90"/>
      <c r="AD107" s="90"/>
      <c r="AE107" s="90"/>
      <c r="AF107" s="90"/>
      <c r="AG107" s="90"/>
      <c r="AH107" s="90"/>
      <c r="AI107" s="90"/>
      <c r="AJ107" s="90"/>
      <c r="AK107" s="90"/>
      <c r="AL107" s="90"/>
      <c r="AM107" s="90"/>
      <c r="AN107" s="90"/>
      <c r="AO107" s="90"/>
      <c r="AP107" s="90"/>
      <c r="AQ107" s="90"/>
      <c r="AR107" s="90"/>
      <c r="AS107" s="90"/>
      <c r="AT107" s="90"/>
      <c r="AU107" s="90"/>
      <c r="AV107" s="90"/>
      <c r="AW107" s="90"/>
      <c r="AX107" s="90"/>
      <c r="AY107" s="90"/>
      <c r="AZ107" s="90"/>
      <c r="BA107" s="90"/>
      <c r="BB107" s="90"/>
      <c r="BC107" s="90"/>
      <c r="BD107" s="90"/>
      <c r="BE107" s="90"/>
      <c r="BF107" s="90"/>
      <c r="BG107" s="90"/>
      <c r="BH107" s="90"/>
      <c r="BI107" s="90"/>
      <c r="BJ107" s="90"/>
      <c r="BK107" s="90"/>
      <c r="BL107" s="90"/>
      <c r="BM107" s="90"/>
      <c r="BN107" s="90"/>
      <c r="BO107" s="90"/>
      <c r="BP107" s="90"/>
      <c r="BQ107" s="90"/>
      <c r="BR107" s="90"/>
      <c r="BS107" s="90"/>
      <c r="BT107" s="90"/>
      <c r="BU107" s="90"/>
      <c r="BV107" s="90"/>
      <c r="BW107" s="90"/>
      <c r="BX107" s="90"/>
      <c r="BY107" s="90"/>
      <c r="BZ107" s="90"/>
      <c r="CA107" s="90"/>
      <c r="CB107" s="90"/>
      <c r="CC107" s="90"/>
      <c r="CD107" s="90"/>
      <c r="CE107" s="90"/>
      <c r="CF107" s="90"/>
      <c r="CG107" s="90"/>
      <c r="CH107" s="90"/>
      <c r="CI107" s="90"/>
      <c r="CJ107" s="90"/>
      <c r="CK107" s="90"/>
      <c r="CL107" s="90"/>
      <c r="CM107" s="90"/>
      <c r="CN107" s="90"/>
      <c r="CO107" s="90"/>
      <c r="CP107" s="90"/>
      <c r="CQ107" s="90"/>
      <c r="CR107" s="90"/>
      <c r="CS107" s="90"/>
      <c r="CT107" s="90"/>
      <c r="CU107" s="90"/>
      <c r="CV107" s="90"/>
      <c r="CW107" s="90"/>
      <c r="CX107" s="90"/>
      <c r="CY107" s="90"/>
      <c r="CZ107" s="90"/>
      <c r="DA107" s="90"/>
      <c r="DB107" s="90"/>
      <c r="DC107" s="90"/>
      <c r="DD107" s="90"/>
      <c r="DE107" s="90"/>
      <c r="DF107" s="90"/>
      <c r="DG107" s="90"/>
      <c r="DH107" s="90"/>
      <c r="DI107" s="90"/>
      <c r="DJ107" s="90"/>
      <c r="DK107" s="90"/>
      <c r="DL107" s="90"/>
      <c r="DM107" s="90"/>
      <c r="DN107" s="90"/>
      <c r="DO107" s="90"/>
      <c r="DP107" s="90"/>
      <c r="DQ107" s="90"/>
      <c r="DR107" s="90"/>
      <c r="DS107" s="90"/>
      <c r="DT107" s="90"/>
      <c r="DU107" s="90"/>
      <c r="DV107" s="90"/>
      <c r="DW107" s="90"/>
      <c r="DX107" s="90"/>
      <c r="DY107" s="90"/>
      <c r="DZ107" s="90"/>
      <c r="EA107" s="90"/>
      <c r="EB107" s="90"/>
      <c r="EC107" s="90"/>
    </row>
    <row r="108" spans="1:133" s="89" customFormat="1" ht="15" customHeight="1" x14ac:dyDescent="0.2">
      <c r="A108" s="92"/>
      <c r="B108" s="90"/>
      <c r="C108" s="90"/>
      <c r="D108" s="90"/>
      <c r="E108" s="90"/>
      <c r="F108" s="90"/>
      <c r="G108" s="90"/>
      <c r="H108" s="90"/>
      <c r="I108" s="90"/>
      <c r="J108" s="90"/>
      <c r="K108" s="90"/>
      <c r="L108" s="90"/>
      <c r="M108" s="90"/>
      <c r="N108" s="90"/>
      <c r="O108" s="90"/>
      <c r="P108" s="90"/>
      <c r="Q108" s="90"/>
      <c r="R108" s="90"/>
      <c r="S108" s="90"/>
      <c r="T108" s="90"/>
      <c r="U108" s="90"/>
      <c r="V108" s="90"/>
      <c r="W108" s="90"/>
      <c r="X108" s="90"/>
      <c r="Y108" s="90"/>
      <c r="Z108" s="90"/>
      <c r="AA108" s="90"/>
      <c r="AB108" s="90"/>
      <c r="AC108" s="90"/>
      <c r="AD108" s="90"/>
      <c r="AE108" s="90"/>
      <c r="AF108" s="90"/>
      <c r="AG108" s="90"/>
      <c r="AH108" s="90"/>
      <c r="AI108" s="90"/>
      <c r="AJ108" s="90"/>
      <c r="AK108" s="90"/>
      <c r="AL108" s="90"/>
      <c r="AM108" s="90"/>
      <c r="AN108" s="90"/>
      <c r="AO108" s="90"/>
      <c r="AP108" s="90"/>
      <c r="AQ108" s="90"/>
      <c r="AR108" s="90"/>
      <c r="AS108" s="90"/>
      <c r="AT108" s="90"/>
      <c r="AU108" s="90"/>
      <c r="AV108" s="90"/>
      <c r="AW108" s="90"/>
      <c r="AX108" s="90"/>
      <c r="AY108" s="90"/>
      <c r="AZ108" s="90"/>
      <c r="BA108" s="90"/>
      <c r="BB108" s="90"/>
      <c r="BC108" s="90"/>
      <c r="BD108" s="90"/>
      <c r="BE108" s="90"/>
      <c r="BF108" s="90"/>
      <c r="BG108" s="90"/>
      <c r="BH108" s="90"/>
      <c r="BI108" s="90"/>
      <c r="BJ108" s="90"/>
      <c r="BK108" s="90"/>
      <c r="BL108" s="90"/>
      <c r="BM108" s="90"/>
      <c r="BN108" s="90"/>
      <c r="BO108" s="90"/>
      <c r="BP108" s="90"/>
      <c r="BQ108" s="90"/>
      <c r="BR108" s="90"/>
      <c r="BS108" s="90"/>
      <c r="BT108" s="90"/>
      <c r="BU108" s="90"/>
      <c r="BV108" s="90"/>
      <c r="BW108" s="90"/>
      <c r="BX108" s="90"/>
      <c r="BY108" s="90"/>
      <c r="BZ108" s="90"/>
      <c r="CA108" s="90"/>
      <c r="CB108" s="90"/>
      <c r="CC108" s="90"/>
      <c r="CD108" s="90"/>
      <c r="CE108" s="90"/>
      <c r="CF108" s="90"/>
      <c r="CG108" s="90"/>
      <c r="CH108" s="90"/>
      <c r="CI108" s="90"/>
      <c r="CJ108" s="90"/>
      <c r="CK108" s="90"/>
      <c r="CL108" s="90"/>
      <c r="CM108" s="90"/>
      <c r="CN108" s="90"/>
      <c r="CO108" s="90"/>
      <c r="CP108" s="90"/>
      <c r="CQ108" s="90"/>
      <c r="CR108" s="90"/>
      <c r="CS108" s="90"/>
      <c r="CT108" s="90"/>
      <c r="CU108" s="90"/>
      <c r="CV108" s="90"/>
      <c r="CW108" s="90"/>
      <c r="CX108" s="90"/>
      <c r="CY108" s="90"/>
      <c r="CZ108" s="90"/>
      <c r="DA108" s="90"/>
      <c r="DB108" s="90"/>
      <c r="DC108" s="90"/>
      <c r="DD108" s="90"/>
      <c r="DE108" s="90"/>
      <c r="DF108" s="90"/>
      <c r="DG108" s="90"/>
      <c r="DH108" s="90"/>
      <c r="DI108" s="90"/>
      <c r="DJ108" s="90"/>
      <c r="DK108" s="90"/>
      <c r="DL108" s="90"/>
      <c r="DM108" s="90"/>
      <c r="DN108" s="90"/>
      <c r="DO108" s="90"/>
      <c r="DP108" s="90"/>
      <c r="DQ108" s="90"/>
      <c r="DR108" s="90"/>
      <c r="DS108" s="90"/>
      <c r="DT108" s="90"/>
      <c r="DU108" s="90"/>
      <c r="DV108" s="90"/>
      <c r="DW108" s="90"/>
      <c r="DX108" s="90"/>
      <c r="DY108" s="90"/>
      <c r="DZ108" s="90"/>
      <c r="EA108" s="90"/>
      <c r="EB108" s="90"/>
      <c r="EC108" s="90"/>
    </row>
    <row r="109" spans="1:133" s="89" customFormat="1" ht="15" customHeight="1" x14ac:dyDescent="0.2">
      <c r="A109" s="92"/>
      <c r="B109" s="90"/>
      <c r="C109" s="90"/>
      <c r="D109" s="90"/>
      <c r="E109" s="90"/>
      <c r="F109" s="90"/>
      <c r="G109" s="90"/>
      <c r="H109" s="90"/>
      <c r="I109" s="90"/>
      <c r="J109" s="90"/>
      <c r="K109" s="90"/>
      <c r="L109" s="90"/>
      <c r="M109" s="90"/>
      <c r="N109" s="90"/>
      <c r="O109" s="90"/>
      <c r="P109" s="90"/>
      <c r="Q109" s="90"/>
      <c r="R109" s="90"/>
      <c r="S109" s="90"/>
      <c r="T109" s="90"/>
      <c r="U109" s="90"/>
      <c r="V109" s="90"/>
      <c r="W109" s="90"/>
      <c r="X109" s="90"/>
      <c r="Y109" s="90"/>
      <c r="Z109" s="90"/>
      <c r="AA109" s="90"/>
      <c r="AB109" s="90"/>
      <c r="AC109" s="90"/>
      <c r="AD109" s="90"/>
      <c r="AE109" s="90"/>
      <c r="AF109" s="90"/>
      <c r="AG109" s="90"/>
      <c r="AH109" s="90"/>
      <c r="AI109" s="90"/>
      <c r="AJ109" s="90"/>
      <c r="AK109" s="90"/>
      <c r="AL109" s="90"/>
      <c r="AM109" s="90"/>
      <c r="AN109" s="90"/>
      <c r="AO109" s="90"/>
      <c r="AP109" s="90"/>
      <c r="AQ109" s="90"/>
      <c r="AR109" s="90"/>
      <c r="AS109" s="90"/>
      <c r="AT109" s="90"/>
      <c r="AU109" s="90"/>
      <c r="AV109" s="90"/>
      <c r="AW109" s="90"/>
      <c r="AX109" s="90"/>
      <c r="AY109" s="90"/>
      <c r="AZ109" s="90"/>
      <c r="BA109" s="90"/>
      <c r="BB109" s="90"/>
      <c r="BC109" s="90"/>
      <c r="BD109" s="90"/>
      <c r="BE109" s="90"/>
      <c r="BF109" s="90"/>
      <c r="BG109" s="90"/>
      <c r="BH109" s="90"/>
      <c r="BI109" s="90"/>
      <c r="BJ109" s="90"/>
      <c r="BK109" s="90"/>
      <c r="BL109" s="90"/>
      <c r="BM109" s="90"/>
      <c r="BN109" s="90"/>
      <c r="BO109" s="90"/>
      <c r="BP109" s="90"/>
      <c r="BQ109" s="90"/>
      <c r="BR109" s="90"/>
      <c r="BS109" s="90"/>
      <c r="BT109" s="90"/>
      <c r="BU109" s="90"/>
      <c r="BV109" s="90"/>
      <c r="BW109" s="90"/>
      <c r="BX109" s="90"/>
      <c r="BY109" s="90"/>
      <c r="BZ109" s="90"/>
      <c r="CA109" s="90"/>
      <c r="CB109" s="90"/>
      <c r="CC109" s="90"/>
      <c r="CD109" s="90"/>
      <c r="CE109" s="90"/>
      <c r="CF109" s="90"/>
      <c r="CG109" s="90"/>
      <c r="CH109" s="90"/>
      <c r="CI109" s="90"/>
      <c r="CJ109" s="90"/>
      <c r="CK109" s="90"/>
      <c r="CL109" s="90"/>
      <c r="CM109" s="90"/>
      <c r="CN109" s="90"/>
      <c r="CO109" s="90"/>
      <c r="CP109" s="90"/>
      <c r="CQ109" s="90"/>
      <c r="CR109" s="90"/>
      <c r="CS109" s="90"/>
      <c r="CT109" s="90"/>
      <c r="CU109" s="90"/>
      <c r="CV109" s="90"/>
      <c r="CW109" s="90"/>
      <c r="CX109" s="90"/>
      <c r="CY109" s="90"/>
      <c r="CZ109" s="90"/>
      <c r="DA109" s="90"/>
      <c r="DB109" s="90"/>
      <c r="DC109" s="90"/>
      <c r="DD109" s="90"/>
      <c r="DE109" s="90"/>
      <c r="DF109" s="90"/>
      <c r="DG109" s="90"/>
      <c r="DH109" s="90"/>
      <c r="DI109" s="90"/>
      <c r="DJ109" s="90"/>
      <c r="DK109" s="90"/>
      <c r="DL109" s="90"/>
      <c r="DM109" s="90"/>
      <c r="DN109" s="90"/>
      <c r="DO109" s="90"/>
      <c r="DP109" s="90"/>
      <c r="DQ109" s="90"/>
      <c r="DR109" s="90"/>
      <c r="DS109" s="90"/>
      <c r="DT109" s="90"/>
      <c r="DU109" s="90"/>
      <c r="DV109" s="90"/>
      <c r="DW109" s="90"/>
      <c r="DX109" s="90"/>
      <c r="DY109" s="90"/>
      <c r="DZ109" s="90"/>
      <c r="EA109" s="90"/>
      <c r="EB109" s="90"/>
      <c r="EC109" s="90"/>
    </row>
    <row r="110" spans="1:133" s="89" customFormat="1" ht="15" customHeight="1" x14ac:dyDescent="0.2">
      <c r="A110" s="92"/>
      <c r="B110" s="90"/>
      <c r="C110" s="90"/>
      <c r="D110" s="90"/>
      <c r="E110" s="90"/>
      <c r="F110" s="90"/>
      <c r="G110" s="90"/>
      <c r="H110" s="90"/>
      <c r="I110" s="90"/>
      <c r="J110" s="90"/>
      <c r="K110" s="90"/>
      <c r="L110" s="90"/>
      <c r="M110" s="90"/>
      <c r="N110" s="90"/>
      <c r="O110" s="90"/>
      <c r="P110" s="90"/>
      <c r="Q110" s="90"/>
      <c r="R110" s="90"/>
      <c r="S110" s="90"/>
      <c r="T110" s="90"/>
      <c r="U110" s="90"/>
      <c r="V110" s="90"/>
      <c r="W110" s="90"/>
      <c r="X110" s="90"/>
      <c r="Y110" s="90"/>
      <c r="Z110" s="90"/>
      <c r="AA110" s="90"/>
      <c r="AB110" s="90"/>
      <c r="AC110" s="90"/>
      <c r="AD110" s="90"/>
      <c r="AE110" s="90"/>
      <c r="AF110" s="90"/>
      <c r="AG110" s="90"/>
      <c r="AH110" s="90"/>
      <c r="AI110" s="90"/>
      <c r="AJ110" s="90"/>
      <c r="AK110" s="90"/>
      <c r="AL110" s="90"/>
      <c r="AM110" s="90"/>
      <c r="AN110" s="90"/>
      <c r="AO110" s="90"/>
      <c r="AP110" s="90"/>
      <c r="AQ110" s="90"/>
      <c r="AR110" s="90"/>
      <c r="AS110" s="90"/>
      <c r="AT110" s="90"/>
      <c r="AU110" s="90"/>
      <c r="AV110" s="90"/>
      <c r="AW110" s="90"/>
      <c r="AX110" s="90"/>
      <c r="AY110" s="90"/>
      <c r="AZ110" s="90"/>
      <c r="BA110" s="90"/>
      <c r="BB110" s="90"/>
      <c r="BC110" s="90"/>
      <c r="BD110" s="90"/>
      <c r="BE110" s="90"/>
      <c r="BF110" s="90"/>
      <c r="BG110" s="90"/>
      <c r="BH110" s="90"/>
      <c r="BI110" s="90"/>
      <c r="BJ110" s="90"/>
      <c r="BK110" s="90"/>
      <c r="BL110" s="90"/>
      <c r="BM110" s="90"/>
      <c r="BN110" s="90"/>
      <c r="BO110" s="90"/>
      <c r="BP110" s="90"/>
      <c r="BQ110" s="90"/>
      <c r="BR110" s="90"/>
      <c r="BS110" s="90"/>
      <c r="BT110" s="90"/>
      <c r="BU110" s="90"/>
      <c r="BV110" s="90"/>
      <c r="BW110" s="90"/>
      <c r="BX110" s="90"/>
      <c r="BY110" s="90"/>
      <c r="BZ110" s="90"/>
      <c r="CA110" s="90"/>
      <c r="CB110" s="90"/>
      <c r="CC110" s="90"/>
      <c r="CD110" s="90"/>
      <c r="CE110" s="90"/>
      <c r="CF110" s="90"/>
      <c r="CG110" s="90"/>
      <c r="CH110" s="90"/>
      <c r="CI110" s="90"/>
      <c r="CJ110" s="90"/>
      <c r="CK110" s="90"/>
      <c r="CL110" s="90"/>
      <c r="CM110" s="90"/>
      <c r="CN110" s="90"/>
      <c r="CO110" s="90"/>
      <c r="CP110" s="90"/>
      <c r="CQ110" s="90"/>
      <c r="CR110" s="90"/>
      <c r="CS110" s="90"/>
      <c r="CT110" s="90"/>
      <c r="CU110" s="90"/>
      <c r="CV110" s="90"/>
      <c r="CW110" s="90"/>
      <c r="CX110" s="90"/>
      <c r="CY110" s="90"/>
      <c r="CZ110" s="90"/>
      <c r="DA110" s="90"/>
      <c r="DB110" s="90"/>
      <c r="DC110" s="90"/>
      <c r="DD110" s="90"/>
      <c r="DE110" s="90"/>
      <c r="DF110" s="90"/>
      <c r="DG110" s="90"/>
      <c r="DH110" s="90"/>
      <c r="DI110" s="90"/>
      <c r="DJ110" s="90"/>
      <c r="DK110" s="90"/>
      <c r="DL110" s="90"/>
      <c r="DM110" s="90"/>
      <c r="DN110" s="90"/>
      <c r="DO110" s="90"/>
      <c r="DP110" s="90"/>
      <c r="DQ110" s="90"/>
      <c r="DR110" s="90"/>
      <c r="DS110" s="90"/>
      <c r="DT110" s="90"/>
      <c r="DU110" s="90"/>
      <c r="DV110" s="90"/>
      <c r="DW110" s="90"/>
      <c r="DX110" s="90"/>
      <c r="DY110" s="90"/>
      <c r="DZ110" s="90"/>
      <c r="EA110" s="90"/>
      <c r="EB110" s="90"/>
      <c r="EC110" s="90"/>
    </row>
    <row r="111" spans="1:133" s="89" customFormat="1" ht="15" customHeight="1" x14ac:dyDescent="0.2">
      <c r="A111" s="92"/>
      <c r="B111" s="90"/>
      <c r="C111" s="90"/>
      <c r="D111" s="90"/>
      <c r="E111" s="90"/>
      <c r="F111" s="90"/>
      <c r="G111" s="90"/>
      <c r="H111" s="90"/>
      <c r="I111" s="90"/>
      <c r="J111" s="90"/>
      <c r="K111" s="90"/>
      <c r="L111" s="90"/>
      <c r="M111" s="90"/>
      <c r="N111" s="90"/>
      <c r="O111" s="90"/>
      <c r="P111" s="90"/>
      <c r="Q111" s="90"/>
      <c r="R111" s="90"/>
      <c r="S111" s="90"/>
      <c r="T111" s="90"/>
      <c r="U111" s="90"/>
      <c r="V111" s="90"/>
      <c r="W111" s="90"/>
      <c r="X111" s="90"/>
      <c r="Y111" s="90"/>
      <c r="Z111" s="90"/>
      <c r="AA111" s="90"/>
      <c r="AB111" s="90"/>
      <c r="AC111" s="90"/>
      <c r="AD111" s="90"/>
      <c r="AE111" s="90"/>
      <c r="AF111" s="90"/>
      <c r="AG111" s="90"/>
      <c r="AH111" s="90"/>
      <c r="AI111" s="90"/>
      <c r="AJ111" s="90"/>
      <c r="AK111" s="90"/>
      <c r="AL111" s="90"/>
      <c r="AM111" s="90"/>
      <c r="AN111" s="90"/>
      <c r="AO111" s="90"/>
      <c r="AP111" s="90"/>
      <c r="AQ111" s="90"/>
      <c r="AR111" s="90"/>
      <c r="AS111" s="90"/>
      <c r="AT111" s="90"/>
      <c r="AU111" s="90"/>
      <c r="AV111" s="90"/>
      <c r="AW111" s="90"/>
      <c r="AX111" s="90"/>
      <c r="AY111" s="90"/>
      <c r="AZ111" s="90"/>
      <c r="BA111" s="90"/>
      <c r="BB111" s="90"/>
      <c r="BC111" s="90"/>
      <c r="BD111" s="90"/>
      <c r="BE111" s="90"/>
      <c r="BF111" s="90"/>
      <c r="BG111" s="90"/>
      <c r="BH111" s="90"/>
      <c r="BI111" s="90"/>
      <c r="BJ111" s="90"/>
      <c r="BK111" s="90"/>
      <c r="BL111" s="90"/>
      <c r="BM111" s="90"/>
      <c r="BN111" s="90"/>
      <c r="BO111" s="90"/>
      <c r="BP111" s="90"/>
      <c r="BQ111" s="90"/>
      <c r="BR111" s="90"/>
      <c r="BS111" s="90"/>
      <c r="BT111" s="90"/>
      <c r="BU111" s="90"/>
      <c r="BV111" s="90"/>
      <c r="BW111" s="90"/>
      <c r="BX111" s="90"/>
      <c r="BY111" s="90"/>
      <c r="BZ111" s="90"/>
      <c r="CA111" s="90"/>
      <c r="CB111" s="90"/>
      <c r="CC111" s="90"/>
      <c r="CD111" s="90"/>
      <c r="CE111" s="90"/>
      <c r="CF111" s="90"/>
      <c r="CG111" s="90"/>
      <c r="CH111" s="90"/>
      <c r="CI111" s="90"/>
      <c r="CJ111" s="90"/>
      <c r="CK111" s="90"/>
      <c r="CL111" s="90"/>
      <c r="CM111" s="90"/>
      <c r="CN111" s="90"/>
      <c r="CO111" s="90"/>
      <c r="CP111" s="90"/>
      <c r="CQ111" s="90"/>
      <c r="CR111" s="90"/>
      <c r="CS111" s="90"/>
      <c r="CT111" s="90"/>
      <c r="CU111" s="90"/>
      <c r="CV111" s="90"/>
      <c r="CW111" s="90"/>
      <c r="CX111" s="90"/>
      <c r="CY111" s="90"/>
      <c r="CZ111" s="90"/>
      <c r="DA111" s="90"/>
      <c r="DB111" s="90"/>
      <c r="DC111" s="90"/>
      <c r="DD111" s="90"/>
      <c r="DE111" s="90"/>
      <c r="DF111" s="90"/>
      <c r="DG111" s="90"/>
      <c r="DH111" s="90"/>
      <c r="DI111" s="90"/>
      <c r="DJ111" s="90"/>
      <c r="DK111" s="90"/>
      <c r="DL111" s="90"/>
      <c r="DM111" s="90"/>
      <c r="DN111" s="90"/>
      <c r="DO111" s="90"/>
      <c r="DP111" s="90"/>
      <c r="DQ111" s="90"/>
      <c r="DR111" s="90"/>
      <c r="DS111" s="90"/>
      <c r="DT111" s="90"/>
      <c r="DU111" s="90"/>
      <c r="DV111" s="90"/>
      <c r="DW111" s="90"/>
      <c r="DX111" s="90"/>
      <c r="DY111" s="90"/>
      <c r="DZ111" s="90"/>
      <c r="EA111" s="90"/>
      <c r="EB111" s="90"/>
      <c r="EC111" s="90"/>
    </row>
    <row r="112" spans="1:133" s="89" customFormat="1" ht="15" customHeight="1" x14ac:dyDescent="0.2">
      <c r="A112" s="92"/>
      <c r="B112" s="90"/>
      <c r="C112" s="90"/>
      <c r="D112" s="90"/>
      <c r="E112" s="90"/>
      <c r="F112" s="90"/>
      <c r="G112" s="90"/>
      <c r="H112" s="90"/>
      <c r="I112" s="90"/>
      <c r="J112" s="90"/>
      <c r="K112" s="90"/>
      <c r="L112" s="90"/>
      <c r="M112" s="90"/>
      <c r="N112" s="90"/>
      <c r="O112" s="90"/>
      <c r="P112" s="90"/>
      <c r="Q112" s="90"/>
      <c r="R112" s="90"/>
      <c r="S112" s="90"/>
      <c r="T112" s="90"/>
      <c r="U112" s="90"/>
      <c r="V112" s="90"/>
      <c r="W112" s="90"/>
      <c r="X112" s="90"/>
      <c r="Y112" s="90"/>
      <c r="Z112" s="90"/>
      <c r="AA112" s="90"/>
      <c r="AB112" s="90"/>
      <c r="AC112" s="90"/>
      <c r="AD112" s="90"/>
      <c r="AE112" s="90"/>
      <c r="AF112" s="90"/>
      <c r="AG112" s="90"/>
      <c r="AH112" s="90"/>
      <c r="AI112" s="90"/>
      <c r="AJ112" s="90"/>
      <c r="AK112" s="90"/>
      <c r="AL112" s="90"/>
      <c r="AM112" s="90"/>
      <c r="AN112" s="90"/>
      <c r="AO112" s="90"/>
      <c r="AP112" s="90"/>
      <c r="AQ112" s="90"/>
      <c r="AR112" s="90"/>
      <c r="AS112" s="90"/>
      <c r="AT112" s="90"/>
      <c r="AU112" s="90"/>
      <c r="AV112" s="90"/>
      <c r="AW112" s="90"/>
      <c r="AX112" s="90"/>
      <c r="AY112" s="90"/>
      <c r="AZ112" s="90"/>
      <c r="BA112" s="90"/>
      <c r="BB112" s="90"/>
      <c r="BC112" s="90"/>
      <c r="BD112" s="90"/>
      <c r="BE112" s="90"/>
      <c r="BF112" s="90"/>
      <c r="BG112" s="90"/>
      <c r="BH112" s="90"/>
      <c r="BI112" s="90"/>
      <c r="BJ112" s="90"/>
      <c r="BK112" s="90"/>
      <c r="BL112" s="90"/>
      <c r="BM112" s="90"/>
      <c r="BN112" s="90"/>
      <c r="BO112" s="90"/>
      <c r="BP112" s="90"/>
      <c r="BQ112" s="90"/>
      <c r="BR112" s="90"/>
      <c r="BS112" s="90"/>
      <c r="BT112" s="90"/>
      <c r="BU112" s="90"/>
      <c r="BV112" s="90"/>
      <c r="BW112" s="90"/>
      <c r="BX112" s="90"/>
      <c r="BY112" s="90"/>
      <c r="BZ112" s="90"/>
      <c r="CA112" s="90"/>
      <c r="CB112" s="90"/>
      <c r="CC112" s="90"/>
      <c r="CD112" s="90"/>
      <c r="CE112" s="90"/>
      <c r="CF112" s="90"/>
      <c r="CG112" s="90"/>
      <c r="CH112" s="90"/>
      <c r="CI112" s="90"/>
      <c r="CJ112" s="90"/>
      <c r="CK112" s="90"/>
      <c r="CL112" s="90"/>
      <c r="CM112" s="90"/>
      <c r="CN112" s="90"/>
      <c r="CO112" s="90"/>
      <c r="CP112" s="90"/>
      <c r="CQ112" s="90"/>
      <c r="CR112" s="90"/>
      <c r="CS112" s="90"/>
      <c r="CT112" s="90"/>
      <c r="CU112" s="90"/>
      <c r="CV112" s="90"/>
      <c r="CW112" s="90"/>
      <c r="CX112" s="90"/>
      <c r="CY112" s="90"/>
      <c r="CZ112" s="90"/>
      <c r="DA112" s="90"/>
      <c r="DB112" s="90"/>
      <c r="DC112" s="90"/>
      <c r="DD112" s="90"/>
      <c r="DE112" s="90"/>
      <c r="DF112" s="90"/>
      <c r="DG112" s="90"/>
      <c r="DH112" s="90"/>
      <c r="DI112" s="90"/>
      <c r="DJ112" s="90"/>
      <c r="DK112" s="90"/>
      <c r="DL112" s="90"/>
      <c r="DM112" s="90"/>
      <c r="DN112" s="90"/>
      <c r="DO112" s="90"/>
      <c r="DP112" s="90"/>
      <c r="DQ112" s="90"/>
      <c r="DR112" s="90"/>
      <c r="DS112" s="90"/>
      <c r="DT112" s="90"/>
      <c r="DU112" s="90"/>
      <c r="DV112" s="90"/>
      <c r="DW112" s="90"/>
      <c r="DX112" s="90"/>
      <c r="DY112" s="90"/>
      <c r="DZ112" s="90"/>
      <c r="EA112" s="90"/>
      <c r="EB112" s="90"/>
      <c r="EC112" s="90"/>
    </row>
    <row r="113" spans="1:133" s="89" customFormat="1" ht="15" customHeight="1" x14ac:dyDescent="0.2">
      <c r="A113" s="92"/>
      <c r="B113" s="90"/>
      <c r="C113" s="90"/>
      <c r="D113" s="90"/>
      <c r="E113" s="90"/>
      <c r="F113" s="90"/>
      <c r="G113" s="90"/>
      <c r="H113" s="90"/>
      <c r="I113" s="90"/>
      <c r="J113" s="90"/>
      <c r="K113" s="90"/>
      <c r="L113" s="90"/>
      <c r="M113" s="90"/>
      <c r="N113" s="90"/>
      <c r="O113" s="90"/>
      <c r="P113" s="90"/>
      <c r="Q113" s="90"/>
      <c r="R113" s="90"/>
      <c r="S113" s="90"/>
      <c r="T113" s="90"/>
      <c r="U113" s="90"/>
      <c r="V113" s="90"/>
      <c r="W113" s="90"/>
      <c r="X113" s="90"/>
      <c r="Y113" s="90"/>
      <c r="Z113" s="90"/>
      <c r="AA113" s="90"/>
      <c r="AB113" s="90"/>
      <c r="AC113" s="90"/>
      <c r="AD113" s="90"/>
      <c r="AE113" s="90"/>
      <c r="AF113" s="90"/>
      <c r="AG113" s="90"/>
      <c r="AH113" s="90"/>
      <c r="AI113" s="90"/>
      <c r="AJ113" s="90"/>
      <c r="AK113" s="90"/>
      <c r="AL113" s="90"/>
      <c r="AM113" s="90"/>
      <c r="AN113" s="90"/>
      <c r="AO113" s="90"/>
      <c r="AP113" s="90"/>
      <c r="AQ113" s="90"/>
      <c r="AR113" s="90"/>
      <c r="AS113" s="90"/>
      <c r="AT113" s="90"/>
      <c r="AU113" s="90"/>
      <c r="AV113" s="90"/>
      <c r="AW113" s="90"/>
      <c r="AX113" s="90"/>
      <c r="AY113" s="90"/>
      <c r="AZ113" s="90"/>
      <c r="BA113" s="90"/>
      <c r="BB113" s="90"/>
      <c r="BC113" s="90"/>
      <c r="BD113" s="90"/>
      <c r="BE113" s="90"/>
      <c r="BF113" s="90"/>
      <c r="BG113" s="90"/>
      <c r="BH113" s="90"/>
      <c r="BI113" s="90"/>
      <c r="BJ113" s="90"/>
      <c r="BK113" s="90"/>
      <c r="BL113" s="90"/>
      <c r="BM113" s="90"/>
      <c r="BN113" s="90"/>
      <c r="BO113" s="90"/>
      <c r="BP113" s="90"/>
      <c r="BQ113" s="90"/>
      <c r="BR113" s="90"/>
      <c r="BS113" s="90"/>
      <c r="BT113" s="90"/>
      <c r="BU113" s="90"/>
      <c r="BV113" s="90"/>
      <c r="BW113" s="90"/>
      <c r="BX113" s="90"/>
      <c r="BY113" s="90"/>
      <c r="BZ113" s="90"/>
      <c r="CA113" s="90"/>
      <c r="CB113" s="90"/>
      <c r="CC113" s="90"/>
      <c r="CD113" s="90"/>
      <c r="CE113" s="90"/>
      <c r="CF113" s="90"/>
      <c r="CG113" s="90"/>
      <c r="CH113" s="90"/>
      <c r="CI113" s="90"/>
      <c r="CJ113" s="90"/>
      <c r="CK113" s="90"/>
      <c r="CL113" s="90"/>
      <c r="CM113" s="90"/>
      <c r="CN113" s="90"/>
      <c r="CO113" s="90"/>
      <c r="CP113" s="90"/>
      <c r="CQ113" s="90"/>
      <c r="CR113" s="90"/>
      <c r="CS113" s="90"/>
      <c r="CT113" s="90"/>
      <c r="CU113" s="90"/>
      <c r="CV113" s="90"/>
      <c r="CW113" s="90"/>
      <c r="CX113" s="90"/>
      <c r="CY113" s="90"/>
      <c r="CZ113" s="90"/>
      <c r="DA113" s="90"/>
      <c r="DB113" s="90"/>
      <c r="DC113" s="90"/>
      <c r="DD113" s="90"/>
      <c r="DE113" s="90"/>
      <c r="DF113" s="90"/>
      <c r="DG113" s="90"/>
      <c r="DH113" s="90"/>
      <c r="DI113" s="90"/>
      <c r="DJ113" s="90"/>
      <c r="DK113" s="90"/>
      <c r="DL113" s="90"/>
      <c r="DM113" s="90"/>
      <c r="DN113" s="90"/>
      <c r="DO113" s="90"/>
      <c r="DP113" s="90"/>
      <c r="DQ113" s="90"/>
      <c r="DR113" s="90"/>
      <c r="DS113" s="90"/>
      <c r="DT113" s="90"/>
      <c r="DU113" s="90"/>
      <c r="DV113" s="90"/>
      <c r="DW113" s="90"/>
      <c r="DX113" s="90"/>
      <c r="DY113" s="90"/>
      <c r="DZ113" s="90"/>
      <c r="EA113" s="90"/>
      <c r="EB113" s="90"/>
      <c r="EC113" s="90"/>
    </row>
    <row r="114" spans="1:133" s="89" customFormat="1" ht="15" customHeight="1" x14ac:dyDescent="0.2">
      <c r="A114" s="92"/>
      <c r="B114" s="90"/>
      <c r="C114" s="90"/>
      <c r="D114" s="90"/>
      <c r="E114" s="90"/>
      <c r="F114" s="90"/>
      <c r="G114" s="90"/>
      <c r="H114" s="90"/>
      <c r="I114" s="90"/>
      <c r="J114" s="90"/>
      <c r="K114" s="90"/>
      <c r="L114" s="90"/>
      <c r="M114" s="90"/>
      <c r="N114" s="90"/>
      <c r="O114" s="90"/>
      <c r="P114" s="90"/>
      <c r="Q114" s="90"/>
      <c r="R114" s="90"/>
      <c r="S114" s="90"/>
      <c r="T114" s="90"/>
      <c r="U114" s="90"/>
      <c r="V114" s="90"/>
      <c r="W114" s="90"/>
      <c r="X114" s="90"/>
      <c r="Y114" s="90"/>
      <c r="Z114" s="90"/>
      <c r="AA114" s="90"/>
      <c r="AB114" s="90"/>
      <c r="AC114" s="90"/>
      <c r="AD114" s="90"/>
      <c r="AE114" s="90"/>
      <c r="AF114" s="90"/>
      <c r="AG114" s="90"/>
      <c r="AH114" s="90"/>
      <c r="AI114" s="90"/>
      <c r="AJ114" s="90"/>
      <c r="AK114" s="90"/>
      <c r="AL114" s="90"/>
      <c r="AM114" s="90"/>
      <c r="AN114" s="90"/>
      <c r="AO114" s="90"/>
      <c r="AP114" s="90"/>
      <c r="AQ114" s="90"/>
      <c r="AR114" s="90"/>
      <c r="AS114" s="90"/>
      <c r="AT114" s="90"/>
      <c r="AU114" s="90"/>
      <c r="AV114" s="90"/>
      <c r="AW114" s="90"/>
      <c r="AX114" s="90"/>
      <c r="AY114" s="90"/>
      <c r="AZ114" s="90"/>
      <c r="BA114" s="90"/>
      <c r="BB114" s="90"/>
      <c r="BC114" s="90"/>
      <c r="BD114" s="90"/>
      <c r="BE114" s="90"/>
      <c r="BF114" s="90"/>
      <c r="BG114" s="90"/>
      <c r="BH114" s="90"/>
      <c r="BI114" s="90"/>
      <c r="BJ114" s="90"/>
      <c r="BK114" s="90"/>
      <c r="BL114" s="90"/>
      <c r="BM114" s="90"/>
      <c r="BN114" s="90"/>
      <c r="BO114" s="90"/>
      <c r="BP114" s="90"/>
      <c r="BQ114" s="90"/>
      <c r="BR114" s="90"/>
      <c r="BS114" s="90"/>
      <c r="BT114" s="90"/>
      <c r="BU114" s="90"/>
      <c r="BV114" s="90"/>
      <c r="BW114" s="90"/>
      <c r="BX114" s="90"/>
      <c r="BY114" s="90"/>
      <c r="BZ114" s="90"/>
      <c r="CA114" s="90"/>
      <c r="CB114" s="90"/>
      <c r="CC114" s="90"/>
      <c r="CD114" s="90"/>
      <c r="CE114" s="90"/>
      <c r="CF114" s="90"/>
      <c r="CG114" s="90"/>
      <c r="CH114" s="90"/>
      <c r="CI114" s="90"/>
      <c r="CJ114" s="90"/>
      <c r="CK114" s="90"/>
      <c r="CL114" s="90"/>
      <c r="CM114" s="90"/>
      <c r="CN114" s="90"/>
      <c r="CO114" s="90"/>
      <c r="CP114" s="90"/>
      <c r="CQ114" s="90"/>
      <c r="CR114" s="90"/>
      <c r="CS114" s="90"/>
      <c r="CT114" s="90"/>
      <c r="CU114" s="90"/>
      <c r="CV114" s="90"/>
      <c r="CW114" s="90"/>
      <c r="CX114" s="90"/>
      <c r="CY114" s="90"/>
      <c r="CZ114" s="90"/>
      <c r="DA114" s="90"/>
      <c r="DB114" s="90"/>
      <c r="DC114" s="90"/>
      <c r="DD114" s="90"/>
      <c r="DE114" s="90"/>
      <c r="DF114" s="90"/>
      <c r="DG114" s="90"/>
      <c r="DH114" s="90"/>
      <c r="DI114" s="90"/>
      <c r="DJ114" s="90"/>
      <c r="DK114" s="90"/>
      <c r="DL114" s="90"/>
      <c r="DM114" s="90"/>
      <c r="DN114" s="90"/>
      <c r="DO114" s="90"/>
      <c r="DP114" s="90"/>
      <c r="DQ114" s="90"/>
      <c r="DR114" s="90"/>
      <c r="DS114" s="90"/>
      <c r="DT114" s="90"/>
      <c r="DU114" s="90"/>
      <c r="DV114" s="90"/>
      <c r="DW114" s="90"/>
      <c r="DX114" s="90"/>
      <c r="DY114" s="90"/>
      <c r="DZ114" s="90"/>
      <c r="EA114" s="90"/>
      <c r="EB114" s="90"/>
      <c r="EC114" s="90"/>
    </row>
    <row r="115" spans="1:133" s="89" customFormat="1" ht="15" customHeight="1" x14ac:dyDescent="0.2">
      <c r="A115" s="92"/>
      <c r="B115" s="90"/>
      <c r="C115" s="90"/>
      <c r="D115" s="90"/>
      <c r="E115" s="90"/>
      <c r="F115" s="90"/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Q115" s="90"/>
      <c r="R115" s="90"/>
      <c r="S115" s="90"/>
      <c r="T115" s="90"/>
      <c r="U115" s="90"/>
      <c r="V115" s="90"/>
      <c r="W115" s="90"/>
      <c r="X115" s="90"/>
      <c r="Y115" s="90"/>
      <c r="Z115" s="90"/>
      <c r="AA115" s="90"/>
      <c r="AB115" s="90"/>
      <c r="AC115" s="90"/>
      <c r="AD115" s="90"/>
      <c r="AE115" s="90"/>
      <c r="AF115" s="90"/>
      <c r="AG115" s="90"/>
      <c r="AH115" s="90"/>
      <c r="AI115" s="90"/>
      <c r="AJ115" s="90"/>
      <c r="AK115" s="90"/>
      <c r="AL115" s="90"/>
      <c r="AM115" s="90"/>
      <c r="AN115" s="90"/>
      <c r="AO115" s="90"/>
      <c r="AP115" s="90"/>
      <c r="AQ115" s="90"/>
      <c r="AR115" s="90"/>
      <c r="AS115" s="90"/>
      <c r="AT115" s="90"/>
      <c r="AU115" s="90"/>
      <c r="AV115" s="90"/>
      <c r="AW115" s="90"/>
      <c r="AX115" s="90"/>
      <c r="AY115" s="90"/>
      <c r="AZ115" s="90"/>
      <c r="BA115" s="90"/>
      <c r="BB115" s="90"/>
      <c r="BC115" s="90"/>
      <c r="BD115" s="90"/>
      <c r="BE115" s="90"/>
      <c r="BF115" s="90"/>
      <c r="BG115" s="90"/>
      <c r="BH115" s="90"/>
      <c r="BI115" s="90"/>
      <c r="BJ115" s="90"/>
      <c r="BK115" s="90"/>
      <c r="BL115" s="90"/>
      <c r="BM115" s="90"/>
      <c r="BN115" s="90"/>
      <c r="BO115" s="90"/>
      <c r="BP115" s="90"/>
      <c r="BQ115" s="90"/>
      <c r="BR115" s="90"/>
      <c r="BS115" s="90"/>
      <c r="BT115" s="90"/>
      <c r="BU115" s="90"/>
      <c r="BV115" s="90"/>
      <c r="BW115" s="90"/>
      <c r="BX115" s="90"/>
      <c r="BY115" s="90"/>
      <c r="BZ115" s="90"/>
      <c r="CA115" s="90"/>
      <c r="CB115" s="90"/>
      <c r="CC115" s="90"/>
      <c r="CD115" s="90"/>
      <c r="CE115" s="90"/>
      <c r="CF115" s="90"/>
      <c r="CG115" s="90"/>
      <c r="CH115" s="90"/>
      <c r="CI115" s="90"/>
      <c r="CJ115" s="90"/>
      <c r="CK115" s="90"/>
      <c r="CL115" s="90"/>
      <c r="CM115" s="90"/>
      <c r="CN115" s="90"/>
      <c r="CO115" s="90"/>
      <c r="CP115" s="90"/>
      <c r="CQ115" s="90"/>
      <c r="CR115" s="90"/>
      <c r="CS115" s="90"/>
      <c r="CT115" s="90"/>
      <c r="CU115" s="90"/>
      <c r="CV115" s="90"/>
      <c r="CW115" s="90"/>
      <c r="CX115" s="90"/>
      <c r="CY115" s="90"/>
      <c r="CZ115" s="90"/>
      <c r="DA115" s="90"/>
      <c r="DB115" s="90"/>
      <c r="DC115" s="90"/>
      <c r="DD115" s="90"/>
      <c r="DE115" s="90"/>
      <c r="DF115" s="90"/>
      <c r="DG115" s="90"/>
      <c r="DH115" s="90"/>
      <c r="DI115" s="90"/>
      <c r="DJ115" s="90"/>
      <c r="DK115" s="90"/>
      <c r="DL115" s="90"/>
      <c r="DM115" s="90"/>
      <c r="DN115" s="90"/>
      <c r="DO115" s="90"/>
      <c r="DP115" s="90"/>
      <c r="DQ115" s="90"/>
      <c r="DR115" s="90"/>
      <c r="DS115" s="90"/>
      <c r="DT115" s="90"/>
      <c r="DU115" s="90"/>
      <c r="DV115" s="90"/>
      <c r="DW115" s="90"/>
      <c r="DX115" s="90"/>
      <c r="DY115" s="90"/>
      <c r="DZ115" s="90"/>
      <c r="EA115" s="90"/>
      <c r="EB115" s="90"/>
      <c r="EC115" s="90"/>
    </row>
    <row r="116" spans="1:133" s="89" customFormat="1" ht="15" customHeight="1" x14ac:dyDescent="0.2">
      <c r="A116" s="92"/>
      <c r="B116" s="90"/>
      <c r="C116" s="90"/>
      <c r="D116" s="90"/>
      <c r="E116" s="90"/>
      <c r="F116" s="90"/>
      <c r="G116" s="90"/>
      <c r="H116" s="90"/>
      <c r="I116" s="90"/>
      <c r="J116" s="90"/>
      <c r="K116" s="90"/>
      <c r="L116" s="90"/>
      <c r="M116" s="90"/>
      <c r="N116" s="90"/>
      <c r="O116" s="90"/>
      <c r="P116" s="90"/>
      <c r="Q116" s="90"/>
      <c r="R116" s="90"/>
      <c r="S116" s="90"/>
      <c r="T116" s="90"/>
      <c r="U116" s="90"/>
      <c r="V116" s="90"/>
      <c r="W116" s="90"/>
      <c r="X116" s="90"/>
      <c r="Y116" s="90"/>
      <c r="Z116" s="90"/>
      <c r="AA116" s="90"/>
      <c r="AB116" s="90"/>
      <c r="AC116" s="90"/>
      <c r="AD116" s="90"/>
      <c r="AE116" s="90"/>
      <c r="AF116" s="90"/>
      <c r="AG116" s="90"/>
      <c r="AH116" s="90"/>
      <c r="AI116" s="90"/>
      <c r="AJ116" s="90"/>
      <c r="AK116" s="90"/>
      <c r="AL116" s="90"/>
      <c r="AM116" s="90"/>
      <c r="AN116" s="90"/>
      <c r="AO116" s="90"/>
      <c r="AP116" s="90"/>
      <c r="AQ116" s="90"/>
      <c r="AR116" s="90"/>
      <c r="AS116" s="90"/>
      <c r="AT116" s="90"/>
      <c r="AU116" s="90"/>
      <c r="AV116" s="90"/>
      <c r="AW116" s="90"/>
      <c r="AX116" s="90"/>
      <c r="AY116" s="90"/>
      <c r="AZ116" s="90"/>
      <c r="BA116" s="90"/>
      <c r="BB116" s="90"/>
      <c r="BC116" s="90"/>
      <c r="BD116" s="90"/>
      <c r="BE116" s="90"/>
      <c r="BF116" s="90"/>
      <c r="BG116" s="90"/>
      <c r="BH116" s="90"/>
      <c r="BI116" s="90"/>
      <c r="BJ116" s="90"/>
      <c r="BK116" s="90"/>
      <c r="BL116" s="90"/>
      <c r="BM116" s="90"/>
      <c r="BN116" s="90"/>
      <c r="BO116" s="90"/>
      <c r="BP116" s="90"/>
      <c r="BQ116" s="90"/>
      <c r="BR116" s="90"/>
      <c r="BS116" s="90"/>
      <c r="BT116" s="90"/>
      <c r="BU116" s="90"/>
      <c r="BV116" s="90"/>
      <c r="BW116" s="90"/>
      <c r="BX116" s="90"/>
      <c r="BY116" s="90"/>
      <c r="BZ116" s="90"/>
      <c r="CA116" s="90"/>
      <c r="CB116" s="90"/>
      <c r="CC116" s="90"/>
      <c r="CD116" s="90"/>
      <c r="CE116" s="90"/>
      <c r="CF116" s="90"/>
      <c r="CG116" s="90"/>
      <c r="CH116" s="90"/>
      <c r="CI116" s="90"/>
      <c r="CJ116" s="90"/>
      <c r="CK116" s="90"/>
      <c r="CL116" s="90"/>
      <c r="CM116" s="90"/>
      <c r="CN116" s="90"/>
      <c r="CO116" s="90"/>
      <c r="CP116" s="90"/>
      <c r="CQ116" s="90"/>
      <c r="CR116" s="90"/>
      <c r="CS116" s="90"/>
      <c r="CT116" s="90"/>
      <c r="CU116" s="90"/>
      <c r="CV116" s="90"/>
      <c r="CW116" s="90"/>
      <c r="CX116" s="90"/>
      <c r="CY116" s="90"/>
      <c r="CZ116" s="90"/>
      <c r="DA116" s="90"/>
      <c r="DB116" s="90"/>
      <c r="DC116" s="90"/>
      <c r="DD116" s="90"/>
      <c r="DE116" s="90"/>
      <c r="DF116" s="90"/>
      <c r="DG116" s="90"/>
      <c r="DH116" s="90"/>
      <c r="DI116" s="90"/>
      <c r="DJ116" s="90"/>
      <c r="DK116" s="90"/>
      <c r="DL116" s="90"/>
      <c r="DM116" s="90"/>
      <c r="DN116" s="90"/>
      <c r="DO116" s="90"/>
      <c r="DP116" s="90"/>
      <c r="DQ116" s="90"/>
      <c r="DR116" s="90"/>
      <c r="DS116" s="90"/>
      <c r="DT116" s="90"/>
      <c r="DU116" s="90"/>
      <c r="DV116" s="90"/>
      <c r="DW116" s="90"/>
      <c r="DX116" s="90"/>
      <c r="DY116" s="90"/>
      <c r="DZ116" s="90"/>
      <c r="EA116" s="90"/>
      <c r="EB116" s="90"/>
      <c r="EC116" s="90"/>
    </row>
    <row r="117" spans="1:133" s="89" customFormat="1" ht="15" customHeight="1" x14ac:dyDescent="0.2">
      <c r="A117" s="92"/>
      <c r="B117" s="90"/>
      <c r="C117" s="90"/>
      <c r="D117" s="90"/>
      <c r="E117" s="90"/>
      <c r="F117" s="90"/>
      <c r="G117" s="90"/>
      <c r="H117" s="90"/>
      <c r="I117" s="90"/>
      <c r="J117" s="90"/>
      <c r="K117" s="90"/>
      <c r="L117" s="90"/>
      <c r="M117" s="90"/>
      <c r="N117" s="90"/>
      <c r="O117" s="90"/>
      <c r="P117" s="90"/>
      <c r="Q117" s="90"/>
      <c r="R117" s="90"/>
      <c r="S117" s="90"/>
      <c r="T117" s="90"/>
      <c r="U117" s="90"/>
      <c r="V117" s="90"/>
      <c r="W117" s="90"/>
      <c r="X117" s="90"/>
      <c r="Y117" s="90"/>
      <c r="Z117" s="90"/>
      <c r="AA117" s="90"/>
      <c r="AB117" s="90"/>
      <c r="AC117" s="90"/>
      <c r="AD117" s="90"/>
      <c r="AE117" s="90"/>
      <c r="AF117" s="90"/>
      <c r="AG117" s="90"/>
      <c r="AH117" s="90"/>
      <c r="AI117" s="90"/>
      <c r="AJ117" s="90"/>
      <c r="AK117" s="90"/>
      <c r="AL117" s="90"/>
      <c r="AM117" s="90"/>
      <c r="AN117" s="90"/>
      <c r="AO117" s="90"/>
      <c r="AP117" s="90"/>
      <c r="AQ117" s="90"/>
      <c r="AR117" s="90"/>
      <c r="AS117" s="90"/>
      <c r="AT117" s="90"/>
      <c r="AU117" s="90"/>
      <c r="AV117" s="90"/>
      <c r="AW117" s="90"/>
      <c r="AX117" s="90"/>
      <c r="AY117" s="90"/>
      <c r="AZ117" s="90"/>
      <c r="BA117" s="90"/>
      <c r="BB117" s="90"/>
      <c r="BC117" s="90"/>
      <c r="BD117" s="90"/>
      <c r="BE117" s="90"/>
      <c r="BF117" s="90"/>
      <c r="BG117" s="90"/>
      <c r="BH117" s="90"/>
      <c r="BI117" s="90"/>
      <c r="BJ117" s="90"/>
      <c r="BK117" s="90"/>
      <c r="BL117" s="90"/>
      <c r="BM117" s="90"/>
      <c r="BN117" s="90"/>
      <c r="BO117" s="90"/>
      <c r="BP117" s="90"/>
      <c r="BQ117" s="90"/>
      <c r="BR117" s="90"/>
      <c r="BS117" s="90"/>
      <c r="BT117" s="90"/>
      <c r="BU117" s="90"/>
      <c r="BV117" s="90"/>
      <c r="BW117" s="90"/>
      <c r="BX117" s="90"/>
      <c r="BY117" s="90"/>
      <c r="BZ117" s="90"/>
      <c r="CA117" s="90"/>
      <c r="CB117" s="90"/>
      <c r="CC117" s="90"/>
      <c r="CD117" s="90"/>
      <c r="CE117" s="90"/>
      <c r="CF117" s="90"/>
      <c r="CG117" s="90"/>
      <c r="CH117" s="90"/>
      <c r="CI117" s="90"/>
      <c r="CJ117" s="90"/>
      <c r="CK117" s="90"/>
      <c r="CL117" s="90"/>
      <c r="CM117" s="90"/>
      <c r="CN117" s="90"/>
      <c r="CO117" s="90"/>
      <c r="CP117" s="90"/>
      <c r="CQ117" s="90"/>
      <c r="CR117" s="90"/>
      <c r="CS117" s="90"/>
      <c r="CT117" s="90"/>
      <c r="CU117" s="90"/>
      <c r="CV117" s="90"/>
      <c r="CW117" s="90"/>
      <c r="CX117" s="90"/>
      <c r="CY117" s="90"/>
      <c r="CZ117" s="90"/>
      <c r="DA117" s="90"/>
      <c r="DB117" s="90"/>
      <c r="DC117" s="90"/>
      <c r="DD117" s="90"/>
      <c r="DE117" s="90"/>
      <c r="DF117" s="90"/>
      <c r="DG117" s="90"/>
      <c r="DH117" s="90"/>
      <c r="DI117" s="90"/>
      <c r="DJ117" s="90"/>
      <c r="DK117" s="90"/>
      <c r="DL117" s="90"/>
      <c r="DM117" s="90"/>
      <c r="DN117" s="90"/>
      <c r="DO117" s="90"/>
      <c r="DP117" s="90"/>
      <c r="DQ117" s="90"/>
      <c r="DR117" s="90"/>
      <c r="DS117" s="90"/>
      <c r="DT117" s="90"/>
      <c r="DU117" s="90"/>
      <c r="DV117" s="90"/>
      <c r="DW117" s="90"/>
      <c r="DX117" s="90"/>
      <c r="DY117" s="90"/>
      <c r="DZ117" s="90"/>
      <c r="EA117" s="90"/>
      <c r="EB117" s="90"/>
      <c r="EC117" s="90"/>
    </row>
    <row r="118" spans="1:133" s="89" customFormat="1" ht="15" customHeight="1" x14ac:dyDescent="0.2">
      <c r="A118" s="92"/>
      <c r="B118" s="90"/>
      <c r="C118" s="90"/>
      <c r="D118" s="90"/>
      <c r="E118" s="90"/>
      <c r="F118" s="90"/>
      <c r="G118" s="90"/>
      <c r="H118" s="90"/>
      <c r="I118" s="90"/>
      <c r="J118" s="90"/>
      <c r="K118" s="90"/>
      <c r="L118" s="90"/>
      <c r="M118" s="90"/>
      <c r="N118" s="90"/>
      <c r="O118" s="90"/>
      <c r="P118" s="90"/>
      <c r="Q118" s="90"/>
      <c r="R118" s="90"/>
      <c r="S118" s="90"/>
      <c r="T118" s="90"/>
      <c r="U118" s="90"/>
      <c r="V118" s="90"/>
      <c r="W118" s="90"/>
      <c r="X118" s="90"/>
      <c r="Y118" s="90"/>
      <c r="Z118" s="90"/>
      <c r="AA118" s="90"/>
      <c r="AB118" s="90"/>
      <c r="AC118" s="90"/>
      <c r="AD118" s="90"/>
      <c r="AE118" s="90"/>
      <c r="AF118" s="90"/>
      <c r="AG118" s="90"/>
      <c r="AH118" s="90"/>
      <c r="AI118" s="90"/>
      <c r="AJ118" s="90"/>
      <c r="AK118" s="90"/>
      <c r="AL118" s="90"/>
      <c r="AM118" s="90"/>
      <c r="AN118" s="90"/>
      <c r="AO118" s="90"/>
      <c r="AP118" s="90"/>
      <c r="AQ118" s="90"/>
      <c r="AR118" s="90"/>
      <c r="AS118" s="90"/>
      <c r="AT118" s="90"/>
      <c r="AU118" s="90"/>
      <c r="AV118" s="90"/>
      <c r="AW118" s="90"/>
      <c r="AX118" s="90"/>
      <c r="AY118" s="90"/>
      <c r="AZ118" s="90"/>
      <c r="BA118" s="90"/>
      <c r="BB118" s="90"/>
      <c r="BC118" s="90"/>
      <c r="BD118" s="90"/>
      <c r="BE118" s="90"/>
      <c r="BF118" s="90"/>
      <c r="BG118" s="90"/>
      <c r="BH118" s="90"/>
      <c r="BI118" s="90"/>
      <c r="BJ118" s="90"/>
      <c r="BK118" s="90"/>
      <c r="BL118" s="90"/>
      <c r="BM118" s="90"/>
      <c r="BN118" s="90"/>
      <c r="BO118" s="90"/>
      <c r="BP118" s="90"/>
      <c r="BQ118" s="90"/>
      <c r="BR118" s="90"/>
      <c r="BS118" s="90"/>
      <c r="BT118" s="90"/>
      <c r="BU118" s="90"/>
      <c r="BV118" s="90"/>
      <c r="BW118" s="90"/>
      <c r="BX118" s="90"/>
      <c r="BY118" s="90"/>
      <c r="BZ118" s="90"/>
      <c r="CA118" s="90"/>
      <c r="CB118" s="90"/>
      <c r="CC118" s="90"/>
      <c r="CD118" s="90"/>
      <c r="CE118" s="90"/>
      <c r="CF118" s="90"/>
      <c r="CG118" s="90"/>
      <c r="CH118" s="90"/>
      <c r="CI118" s="90"/>
      <c r="CJ118" s="90"/>
      <c r="CK118" s="90"/>
      <c r="CL118" s="90"/>
      <c r="CM118" s="90"/>
      <c r="CN118" s="90"/>
      <c r="CO118" s="90"/>
      <c r="CP118" s="90"/>
      <c r="CQ118" s="90"/>
      <c r="CR118" s="90"/>
      <c r="CS118" s="90"/>
      <c r="CT118" s="90"/>
      <c r="CU118" s="90"/>
      <c r="CV118" s="90"/>
      <c r="CW118" s="90"/>
      <c r="CX118" s="90"/>
      <c r="CY118" s="90"/>
      <c r="CZ118" s="90"/>
      <c r="DA118" s="90"/>
      <c r="DB118" s="90"/>
      <c r="DC118" s="90"/>
      <c r="DD118" s="90"/>
      <c r="DE118" s="90"/>
      <c r="DF118" s="90"/>
      <c r="DG118" s="90"/>
      <c r="DH118" s="90"/>
      <c r="DI118" s="90"/>
      <c r="DJ118" s="90"/>
      <c r="DK118" s="90"/>
      <c r="DL118" s="90"/>
      <c r="DM118" s="90"/>
      <c r="DN118" s="90"/>
      <c r="DO118" s="90"/>
      <c r="DP118" s="90"/>
      <c r="DQ118" s="90"/>
      <c r="DR118" s="90"/>
      <c r="DS118" s="90"/>
      <c r="DT118" s="90"/>
      <c r="DU118" s="90"/>
      <c r="DV118" s="90"/>
      <c r="DW118" s="90"/>
      <c r="DX118" s="90"/>
      <c r="DY118" s="90"/>
      <c r="DZ118" s="90"/>
      <c r="EA118" s="90"/>
      <c r="EB118" s="90"/>
      <c r="EC118" s="90"/>
    </row>
    <row r="119" spans="1:133" s="89" customFormat="1" ht="15" customHeight="1" x14ac:dyDescent="0.2">
      <c r="A119" s="92"/>
      <c r="B119" s="90"/>
      <c r="C119" s="90"/>
      <c r="D119" s="90"/>
      <c r="E119" s="90"/>
      <c r="F119" s="90"/>
      <c r="G119" s="90"/>
      <c r="H119" s="90"/>
      <c r="I119" s="90"/>
      <c r="J119" s="90"/>
      <c r="K119" s="90"/>
      <c r="L119" s="90"/>
      <c r="M119" s="90"/>
      <c r="N119" s="90"/>
      <c r="O119" s="90"/>
      <c r="P119" s="90"/>
      <c r="Q119" s="90"/>
      <c r="R119" s="90"/>
      <c r="S119" s="90"/>
      <c r="T119" s="90"/>
      <c r="U119" s="90"/>
      <c r="V119" s="90"/>
      <c r="W119" s="90"/>
      <c r="X119" s="90"/>
      <c r="Y119" s="90"/>
      <c r="Z119" s="90"/>
      <c r="AA119" s="90"/>
      <c r="AB119" s="90"/>
      <c r="AC119" s="90"/>
      <c r="AD119" s="90"/>
      <c r="AE119" s="90"/>
      <c r="AF119" s="90"/>
      <c r="AG119" s="90"/>
      <c r="AH119" s="90"/>
      <c r="AI119" s="90"/>
      <c r="AJ119" s="90"/>
      <c r="AK119" s="90"/>
      <c r="AL119" s="90"/>
      <c r="AM119" s="90"/>
      <c r="AN119" s="90"/>
      <c r="AO119" s="90"/>
      <c r="AP119" s="90"/>
      <c r="AQ119" s="90"/>
      <c r="AR119" s="90"/>
      <c r="AS119" s="90"/>
      <c r="AT119" s="90"/>
      <c r="AU119" s="90"/>
      <c r="AV119" s="90"/>
      <c r="AW119" s="90"/>
      <c r="AX119" s="90"/>
      <c r="AY119" s="90"/>
      <c r="AZ119" s="90"/>
      <c r="BA119" s="90"/>
      <c r="BB119" s="90"/>
      <c r="BC119" s="90"/>
      <c r="BD119" s="90"/>
      <c r="BE119" s="90"/>
      <c r="BF119" s="90"/>
      <c r="BG119" s="90"/>
      <c r="BH119" s="90"/>
      <c r="BI119" s="90"/>
      <c r="BJ119" s="90"/>
      <c r="BK119" s="90"/>
      <c r="BL119" s="90"/>
      <c r="BM119" s="90"/>
      <c r="BN119" s="90"/>
      <c r="BO119" s="90"/>
      <c r="BP119" s="90"/>
      <c r="BQ119" s="90"/>
      <c r="BR119" s="90"/>
      <c r="BS119" s="90"/>
      <c r="BT119" s="90"/>
      <c r="BU119" s="90"/>
      <c r="BV119" s="90"/>
      <c r="BW119" s="90"/>
      <c r="BX119" s="90"/>
      <c r="BY119" s="90"/>
      <c r="BZ119" s="90"/>
      <c r="CA119" s="90"/>
      <c r="CB119" s="90"/>
      <c r="CC119" s="90"/>
      <c r="CD119" s="90"/>
      <c r="CE119" s="90"/>
      <c r="CF119" s="90"/>
      <c r="CG119" s="90"/>
      <c r="CH119" s="90"/>
      <c r="CI119" s="90"/>
      <c r="CJ119" s="90"/>
      <c r="CK119" s="90"/>
      <c r="CL119" s="90"/>
      <c r="CM119" s="90"/>
      <c r="CN119" s="90"/>
      <c r="CO119" s="90"/>
      <c r="CP119" s="90"/>
      <c r="CQ119" s="90"/>
      <c r="CR119" s="90"/>
      <c r="CS119" s="90"/>
      <c r="CT119" s="90"/>
      <c r="CU119" s="90"/>
      <c r="CV119" s="90"/>
      <c r="CW119" s="90"/>
      <c r="CX119" s="90"/>
      <c r="CY119" s="90"/>
      <c r="CZ119" s="90"/>
      <c r="DA119" s="90"/>
      <c r="DB119" s="90"/>
      <c r="DC119" s="90"/>
      <c r="DD119" s="90"/>
      <c r="DE119" s="90"/>
      <c r="DF119" s="90"/>
      <c r="DG119" s="90"/>
      <c r="DH119" s="90"/>
      <c r="DI119" s="90"/>
      <c r="DJ119" s="90"/>
      <c r="DK119" s="90"/>
      <c r="DL119" s="90"/>
      <c r="DM119" s="90"/>
      <c r="DN119" s="90"/>
      <c r="DO119" s="90"/>
      <c r="DP119" s="90"/>
      <c r="DQ119" s="90"/>
      <c r="DR119" s="90"/>
      <c r="DS119" s="90"/>
      <c r="DT119" s="90"/>
      <c r="DU119" s="90"/>
      <c r="DV119" s="90"/>
      <c r="DW119" s="90"/>
      <c r="DX119" s="90"/>
      <c r="DY119" s="90"/>
      <c r="DZ119" s="90"/>
      <c r="EA119" s="90"/>
      <c r="EB119" s="90"/>
      <c r="EC119" s="90"/>
    </row>
    <row r="120" spans="1:133" s="89" customFormat="1" ht="15" customHeight="1" x14ac:dyDescent="0.2">
      <c r="A120" s="92"/>
      <c r="B120" s="90"/>
      <c r="C120" s="90"/>
      <c r="D120" s="90"/>
      <c r="E120" s="90"/>
      <c r="F120" s="90"/>
      <c r="G120" s="90"/>
      <c r="H120" s="90"/>
      <c r="I120" s="90"/>
      <c r="J120" s="90"/>
      <c r="K120" s="90"/>
      <c r="L120" s="90"/>
      <c r="M120" s="90"/>
      <c r="N120" s="90"/>
      <c r="O120" s="90"/>
      <c r="P120" s="90"/>
      <c r="Q120" s="90"/>
      <c r="R120" s="90"/>
      <c r="S120" s="90"/>
      <c r="T120" s="90"/>
      <c r="U120" s="90"/>
      <c r="V120" s="90"/>
      <c r="W120" s="90"/>
      <c r="X120" s="90"/>
      <c r="Y120" s="90"/>
      <c r="Z120" s="90"/>
      <c r="AA120" s="90"/>
      <c r="AB120" s="90"/>
      <c r="AC120" s="90"/>
      <c r="AD120" s="90"/>
      <c r="AE120" s="90"/>
      <c r="AF120" s="90"/>
      <c r="AG120" s="90"/>
      <c r="AH120" s="90"/>
      <c r="AI120" s="90"/>
      <c r="AJ120" s="90"/>
      <c r="AK120" s="90"/>
      <c r="AL120" s="90"/>
      <c r="AM120" s="90"/>
      <c r="AN120" s="90"/>
      <c r="AO120" s="90"/>
      <c r="AP120" s="90"/>
      <c r="AQ120" s="90"/>
      <c r="AR120" s="90"/>
      <c r="AS120" s="90"/>
      <c r="AT120" s="90"/>
      <c r="AU120" s="90"/>
      <c r="AV120" s="90"/>
      <c r="AW120" s="90"/>
      <c r="AX120" s="90"/>
      <c r="AY120" s="90"/>
      <c r="AZ120" s="90"/>
      <c r="BA120" s="90"/>
      <c r="BB120" s="90"/>
      <c r="BC120" s="90"/>
      <c r="BD120" s="90"/>
      <c r="BE120" s="90"/>
      <c r="BF120" s="90"/>
      <c r="BG120" s="90"/>
      <c r="BH120" s="90"/>
      <c r="BI120" s="90"/>
      <c r="BJ120" s="90"/>
      <c r="BK120" s="90"/>
      <c r="BL120" s="90"/>
      <c r="BM120" s="90"/>
      <c r="BN120" s="90"/>
      <c r="BO120" s="90"/>
      <c r="BP120" s="90"/>
      <c r="BQ120" s="90"/>
      <c r="BR120" s="90"/>
      <c r="BS120" s="90"/>
      <c r="BT120" s="90"/>
      <c r="BU120" s="90"/>
      <c r="BV120" s="90"/>
      <c r="BW120" s="90"/>
      <c r="BX120" s="90"/>
      <c r="BY120" s="90"/>
      <c r="BZ120" s="90"/>
      <c r="CA120" s="90"/>
      <c r="CB120" s="90"/>
      <c r="CC120" s="90"/>
      <c r="CD120" s="90"/>
      <c r="CE120" s="90"/>
      <c r="CF120" s="90"/>
      <c r="CG120" s="90"/>
      <c r="CH120" s="90"/>
      <c r="CI120" s="90"/>
      <c r="CJ120" s="90"/>
      <c r="CK120" s="90"/>
      <c r="CL120" s="90"/>
      <c r="CM120" s="90"/>
      <c r="CN120" s="90"/>
      <c r="CO120" s="90"/>
      <c r="CP120" s="90"/>
      <c r="CQ120" s="90"/>
      <c r="CR120" s="90"/>
      <c r="CS120" s="90"/>
      <c r="CT120" s="90"/>
      <c r="CU120" s="90"/>
      <c r="CV120" s="90"/>
      <c r="CW120" s="90"/>
      <c r="CX120" s="90"/>
      <c r="CY120" s="90"/>
      <c r="CZ120" s="90"/>
      <c r="DA120" s="90"/>
      <c r="DB120" s="90"/>
      <c r="DC120" s="90"/>
      <c r="DD120" s="90"/>
      <c r="DE120" s="90"/>
      <c r="DF120" s="90"/>
      <c r="DG120" s="90"/>
      <c r="DH120" s="90"/>
      <c r="DI120" s="90"/>
      <c r="DJ120" s="90"/>
      <c r="DK120" s="90"/>
      <c r="DL120" s="90"/>
      <c r="DM120" s="90"/>
      <c r="DN120" s="90"/>
      <c r="DO120" s="90"/>
      <c r="DP120" s="90"/>
      <c r="DQ120" s="90"/>
      <c r="DR120" s="90"/>
      <c r="DS120" s="90"/>
      <c r="DT120" s="90"/>
      <c r="DU120" s="90"/>
      <c r="DV120" s="90"/>
      <c r="DW120" s="90"/>
      <c r="DX120" s="90"/>
      <c r="DY120" s="90"/>
      <c r="DZ120" s="90"/>
      <c r="EA120" s="90"/>
      <c r="EB120" s="90"/>
      <c r="EC120" s="90"/>
    </row>
    <row r="121" spans="1:133" s="89" customFormat="1" ht="15" customHeight="1" x14ac:dyDescent="0.2">
      <c r="A121" s="92"/>
      <c r="B121" s="90"/>
      <c r="C121" s="90"/>
      <c r="D121" s="90"/>
      <c r="E121" s="90"/>
      <c r="F121" s="90"/>
      <c r="G121" s="90"/>
      <c r="H121" s="90"/>
      <c r="I121" s="90"/>
      <c r="J121" s="90"/>
      <c r="K121" s="90"/>
      <c r="L121" s="90"/>
      <c r="M121" s="90"/>
      <c r="N121" s="90"/>
      <c r="O121" s="90"/>
      <c r="P121" s="90"/>
      <c r="Q121" s="90"/>
      <c r="R121" s="90"/>
      <c r="S121" s="90"/>
      <c r="T121" s="90"/>
      <c r="U121" s="90"/>
      <c r="V121" s="90"/>
      <c r="W121" s="90"/>
      <c r="X121" s="90"/>
      <c r="Y121" s="90"/>
      <c r="Z121" s="90"/>
      <c r="AA121" s="90"/>
      <c r="AB121" s="90"/>
      <c r="AC121" s="90"/>
      <c r="AD121" s="90"/>
      <c r="AE121" s="90"/>
      <c r="AF121" s="90"/>
      <c r="AG121" s="90"/>
      <c r="AH121" s="90"/>
      <c r="AI121" s="90"/>
      <c r="AJ121" s="90"/>
      <c r="AK121" s="90"/>
      <c r="AL121" s="90"/>
      <c r="AM121" s="90"/>
      <c r="AN121" s="90"/>
      <c r="AO121" s="90"/>
      <c r="AP121" s="90"/>
      <c r="AQ121" s="90"/>
      <c r="AR121" s="90"/>
      <c r="AS121" s="90"/>
      <c r="AT121" s="90"/>
      <c r="AU121" s="90"/>
      <c r="AV121" s="90"/>
      <c r="AW121" s="90"/>
      <c r="AX121" s="90"/>
      <c r="AY121" s="90"/>
      <c r="AZ121" s="90"/>
      <c r="BA121" s="90"/>
      <c r="BB121" s="90"/>
      <c r="BC121" s="90"/>
      <c r="BD121" s="90"/>
      <c r="BE121" s="90"/>
      <c r="BF121" s="90"/>
      <c r="BG121" s="90"/>
      <c r="BH121" s="90"/>
      <c r="BI121" s="90"/>
      <c r="BJ121" s="90"/>
      <c r="BK121" s="90"/>
      <c r="BL121" s="90"/>
      <c r="BM121" s="90"/>
      <c r="BN121" s="90"/>
      <c r="BO121" s="90"/>
      <c r="BP121" s="90"/>
      <c r="BQ121" s="90"/>
      <c r="BR121" s="90"/>
      <c r="BS121" s="90"/>
      <c r="BT121" s="90"/>
      <c r="BU121" s="90"/>
      <c r="BV121" s="90"/>
      <c r="BW121" s="90"/>
      <c r="BX121" s="90"/>
      <c r="BY121" s="90"/>
      <c r="BZ121" s="90"/>
      <c r="CA121" s="90"/>
      <c r="CB121" s="90"/>
      <c r="CC121" s="90"/>
      <c r="CD121" s="90"/>
      <c r="CE121" s="90"/>
      <c r="CF121" s="90"/>
      <c r="CG121" s="90"/>
      <c r="CH121" s="90"/>
      <c r="CI121" s="90"/>
      <c r="CJ121" s="90"/>
      <c r="CK121" s="90"/>
      <c r="CL121" s="90"/>
      <c r="CM121" s="90"/>
      <c r="CN121" s="90"/>
      <c r="CO121" s="90"/>
      <c r="CP121" s="90"/>
      <c r="CQ121" s="90"/>
      <c r="CR121" s="90"/>
      <c r="CS121" s="90"/>
      <c r="CT121" s="90"/>
      <c r="CU121" s="90"/>
      <c r="CV121" s="90"/>
      <c r="CW121" s="90"/>
      <c r="CX121" s="90"/>
      <c r="CY121" s="90"/>
      <c r="CZ121" s="90"/>
      <c r="DA121" s="90"/>
      <c r="DB121" s="90"/>
      <c r="DC121" s="90"/>
      <c r="DD121" s="90"/>
      <c r="DE121" s="90"/>
      <c r="DF121" s="90"/>
      <c r="DG121" s="90"/>
      <c r="DH121" s="90"/>
      <c r="DI121" s="90"/>
      <c r="DJ121" s="90"/>
      <c r="DK121" s="90"/>
      <c r="DL121" s="90"/>
      <c r="DM121" s="90"/>
      <c r="DN121" s="90"/>
      <c r="DO121" s="90"/>
      <c r="DP121" s="90"/>
      <c r="DQ121" s="90"/>
      <c r="DR121" s="90"/>
      <c r="DS121" s="90"/>
      <c r="DT121" s="90"/>
      <c r="DU121" s="90"/>
      <c r="DV121" s="90"/>
      <c r="DW121" s="90"/>
      <c r="DX121" s="90"/>
      <c r="DY121" s="90"/>
      <c r="DZ121" s="90"/>
      <c r="EA121" s="90"/>
      <c r="EB121" s="90"/>
      <c r="EC121" s="90"/>
    </row>
    <row r="122" spans="1:133" s="89" customFormat="1" ht="15" customHeight="1" x14ac:dyDescent="0.2">
      <c r="A122" s="92"/>
      <c r="B122" s="90"/>
      <c r="C122" s="90"/>
      <c r="D122" s="90"/>
      <c r="E122" s="90"/>
      <c r="F122" s="90"/>
      <c r="G122" s="90"/>
      <c r="H122" s="90"/>
      <c r="I122" s="90"/>
      <c r="J122" s="90"/>
      <c r="K122" s="90"/>
      <c r="L122" s="90"/>
      <c r="M122" s="90"/>
      <c r="N122" s="90"/>
      <c r="O122" s="90"/>
      <c r="P122" s="90"/>
      <c r="Q122" s="90"/>
      <c r="R122" s="90"/>
      <c r="S122" s="90"/>
      <c r="T122" s="90"/>
      <c r="U122" s="90"/>
      <c r="V122" s="90"/>
      <c r="W122" s="90"/>
      <c r="X122" s="90"/>
      <c r="Y122" s="90"/>
      <c r="Z122" s="90"/>
      <c r="AA122" s="90"/>
      <c r="AB122" s="90"/>
      <c r="AC122" s="90"/>
      <c r="AD122" s="90"/>
      <c r="AE122" s="90"/>
      <c r="AF122" s="90"/>
      <c r="AG122" s="90"/>
      <c r="AH122" s="90"/>
      <c r="AI122" s="90"/>
      <c r="AJ122" s="90"/>
      <c r="AK122" s="90"/>
      <c r="AL122" s="90"/>
      <c r="AM122" s="90"/>
      <c r="AN122" s="90"/>
      <c r="AO122" s="90"/>
      <c r="AP122" s="90"/>
      <c r="AQ122" s="90"/>
      <c r="AR122" s="90"/>
      <c r="AS122" s="90"/>
      <c r="AT122" s="90"/>
      <c r="AU122" s="90"/>
      <c r="AV122" s="90"/>
      <c r="AW122" s="90"/>
      <c r="AX122" s="90"/>
      <c r="AY122" s="90"/>
      <c r="AZ122" s="90"/>
      <c r="BA122" s="90"/>
      <c r="BB122" s="90"/>
      <c r="BC122" s="90"/>
      <c r="BD122" s="90"/>
      <c r="BE122" s="90"/>
      <c r="BF122" s="90"/>
      <c r="BG122" s="90"/>
      <c r="BH122" s="90"/>
      <c r="BI122" s="90"/>
      <c r="BJ122" s="90"/>
      <c r="BK122" s="90"/>
      <c r="BL122" s="90"/>
      <c r="BM122" s="90"/>
      <c r="BN122" s="90"/>
      <c r="BO122" s="90"/>
      <c r="BP122" s="90"/>
      <c r="BQ122" s="90"/>
      <c r="BR122" s="90"/>
      <c r="BS122" s="90"/>
      <c r="BT122" s="90"/>
      <c r="BU122" s="90"/>
      <c r="BV122" s="90"/>
      <c r="BW122" s="90"/>
      <c r="BX122" s="90"/>
      <c r="BY122" s="90"/>
      <c r="BZ122" s="90"/>
      <c r="CA122" s="90"/>
      <c r="CB122" s="90"/>
      <c r="CC122" s="90"/>
      <c r="CD122" s="90"/>
      <c r="CE122" s="90"/>
      <c r="CF122" s="90"/>
      <c r="CG122" s="90"/>
      <c r="CH122" s="90"/>
      <c r="CI122" s="90"/>
      <c r="CJ122" s="90"/>
      <c r="CK122" s="90"/>
      <c r="CL122" s="90"/>
      <c r="CM122" s="90"/>
      <c r="CN122" s="90"/>
      <c r="CO122" s="90"/>
      <c r="CP122" s="90"/>
      <c r="CQ122" s="90"/>
      <c r="CR122" s="90"/>
      <c r="CS122" s="90"/>
      <c r="CT122" s="90"/>
      <c r="CU122" s="90"/>
      <c r="CV122" s="90"/>
      <c r="CW122" s="90"/>
      <c r="CX122" s="90"/>
      <c r="CY122" s="90"/>
      <c r="CZ122" s="90"/>
      <c r="DA122" s="90"/>
      <c r="DB122" s="90"/>
      <c r="DC122" s="90"/>
      <c r="DD122" s="90"/>
      <c r="DE122" s="90"/>
      <c r="DF122" s="90"/>
      <c r="DG122" s="90"/>
      <c r="DH122" s="90"/>
      <c r="DI122" s="90"/>
      <c r="DJ122" s="90"/>
      <c r="DK122" s="90"/>
      <c r="DL122" s="90"/>
      <c r="DM122" s="90"/>
      <c r="DN122" s="90"/>
      <c r="DO122" s="90"/>
      <c r="DP122" s="90"/>
      <c r="DQ122" s="90"/>
      <c r="DR122" s="90"/>
      <c r="DS122" s="90"/>
      <c r="DT122" s="90"/>
      <c r="DU122" s="90"/>
      <c r="DV122" s="90"/>
      <c r="DW122" s="90"/>
      <c r="DX122" s="90"/>
      <c r="DY122" s="90"/>
      <c r="DZ122" s="90"/>
      <c r="EA122" s="90"/>
      <c r="EB122" s="90"/>
      <c r="EC122" s="90"/>
    </row>
    <row r="123" spans="1:133" s="89" customFormat="1" ht="15" customHeight="1" x14ac:dyDescent="0.2">
      <c r="A123" s="92"/>
      <c r="B123" s="90"/>
      <c r="C123" s="90"/>
      <c r="D123" s="90"/>
      <c r="E123" s="90"/>
      <c r="F123" s="90"/>
      <c r="G123" s="90"/>
      <c r="H123" s="90"/>
      <c r="I123" s="90"/>
      <c r="J123" s="90"/>
      <c r="K123" s="90"/>
      <c r="L123" s="90"/>
      <c r="M123" s="90"/>
      <c r="N123" s="90"/>
      <c r="O123" s="90"/>
      <c r="P123" s="90"/>
      <c r="Q123" s="90"/>
      <c r="R123" s="90"/>
      <c r="S123" s="90"/>
      <c r="T123" s="90"/>
      <c r="U123" s="90"/>
      <c r="V123" s="90"/>
      <c r="W123" s="90"/>
      <c r="X123" s="90"/>
      <c r="Y123" s="90"/>
      <c r="Z123" s="90"/>
      <c r="AA123" s="90"/>
      <c r="AB123" s="90"/>
      <c r="AC123" s="90"/>
      <c r="AD123" s="90"/>
      <c r="AE123" s="90"/>
      <c r="AF123" s="90"/>
      <c r="AG123" s="90"/>
      <c r="AH123" s="90"/>
      <c r="AI123" s="90"/>
      <c r="AJ123" s="90"/>
      <c r="AK123" s="90"/>
      <c r="AL123" s="90"/>
      <c r="AM123" s="90"/>
      <c r="AN123" s="90"/>
      <c r="AO123" s="90"/>
      <c r="AP123" s="90"/>
      <c r="AQ123" s="90"/>
      <c r="AR123" s="90"/>
      <c r="AS123" s="90"/>
      <c r="AT123" s="90"/>
      <c r="AU123" s="90"/>
      <c r="AV123" s="90"/>
      <c r="AW123" s="90"/>
      <c r="AX123" s="90"/>
      <c r="AY123" s="90"/>
      <c r="AZ123" s="90"/>
      <c r="BA123" s="90"/>
      <c r="BB123" s="90"/>
      <c r="BC123" s="90"/>
      <c r="BD123" s="90"/>
      <c r="BE123" s="90"/>
      <c r="BF123" s="90"/>
      <c r="BG123" s="90"/>
      <c r="BH123" s="90"/>
      <c r="BI123" s="90"/>
      <c r="BJ123" s="90"/>
      <c r="BK123" s="90"/>
      <c r="BL123" s="90"/>
      <c r="BM123" s="90"/>
      <c r="BN123" s="90"/>
      <c r="BO123" s="90"/>
      <c r="BP123" s="90"/>
      <c r="BQ123" s="90"/>
      <c r="BR123" s="90"/>
      <c r="BS123" s="90"/>
      <c r="BT123" s="90"/>
      <c r="BU123" s="90"/>
      <c r="BV123" s="90"/>
      <c r="BW123" s="90"/>
      <c r="BX123" s="90"/>
      <c r="BY123" s="90"/>
      <c r="BZ123" s="90"/>
      <c r="CA123" s="90"/>
      <c r="CB123" s="90"/>
      <c r="CC123" s="90"/>
      <c r="CD123" s="90"/>
      <c r="CE123" s="90"/>
      <c r="CF123" s="90"/>
      <c r="CG123" s="90"/>
      <c r="CH123" s="90"/>
      <c r="CI123" s="90"/>
      <c r="CJ123" s="90"/>
      <c r="CK123" s="90"/>
      <c r="CL123" s="90"/>
      <c r="CM123" s="90"/>
      <c r="CN123" s="90"/>
      <c r="CO123" s="90"/>
      <c r="CP123" s="90"/>
      <c r="CQ123" s="90"/>
      <c r="CR123" s="90"/>
      <c r="CS123" s="90"/>
      <c r="CT123" s="90"/>
      <c r="CU123" s="90"/>
      <c r="CV123" s="90"/>
      <c r="CW123" s="90"/>
      <c r="CX123" s="90"/>
      <c r="CY123" s="90"/>
      <c r="CZ123" s="90"/>
      <c r="DA123" s="90"/>
      <c r="DB123" s="90"/>
      <c r="DC123" s="90"/>
      <c r="DD123" s="90"/>
      <c r="DE123" s="90"/>
      <c r="DF123" s="90"/>
      <c r="DG123" s="90"/>
      <c r="DH123" s="90"/>
      <c r="DI123" s="90"/>
      <c r="DJ123" s="90"/>
      <c r="DK123" s="90"/>
      <c r="DL123" s="90"/>
      <c r="DM123" s="90"/>
      <c r="DN123" s="90"/>
      <c r="DO123" s="90"/>
      <c r="DP123" s="90"/>
      <c r="DQ123" s="90"/>
      <c r="DR123" s="90"/>
      <c r="DS123" s="90"/>
      <c r="DT123" s="90"/>
      <c r="DU123" s="90"/>
      <c r="DV123" s="90"/>
      <c r="DW123" s="90"/>
      <c r="DX123" s="90"/>
      <c r="DY123" s="90"/>
      <c r="DZ123" s="90"/>
      <c r="EA123" s="90"/>
      <c r="EB123" s="90"/>
      <c r="EC123" s="90"/>
    </row>
    <row r="124" spans="1:133" s="89" customFormat="1" ht="15" customHeight="1" x14ac:dyDescent="0.2">
      <c r="A124" s="92"/>
      <c r="B124" s="90"/>
      <c r="C124" s="90"/>
      <c r="D124" s="90"/>
      <c r="E124" s="90"/>
      <c r="F124" s="90"/>
      <c r="G124" s="90"/>
      <c r="H124" s="90"/>
      <c r="I124" s="90"/>
      <c r="J124" s="90"/>
      <c r="K124" s="90"/>
      <c r="L124" s="90"/>
      <c r="M124" s="90"/>
      <c r="N124" s="90"/>
      <c r="O124" s="90"/>
      <c r="P124" s="90"/>
      <c r="Q124" s="90"/>
      <c r="R124" s="90"/>
      <c r="S124" s="90"/>
      <c r="T124" s="90"/>
      <c r="U124" s="90"/>
      <c r="V124" s="90"/>
      <c r="W124" s="90"/>
      <c r="X124" s="90"/>
      <c r="Y124" s="90"/>
      <c r="Z124" s="90"/>
      <c r="AA124" s="90"/>
      <c r="AB124" s="90"/>
      <c r="AC124" s="90"/>
      <c r="AD124" s="90"/>
      <c r="AE124" s="90"/>
      <c r="AF124" s="90"/>
      <c r="AG124" s="90"/>
      <c r="AH124" s="90"/>
      <c r="AI124" s="90"/>
      <c r="AJ124" s="90"/>
      <c r="AK124" s="90"/>
      <c r="AL124" s="90"/>
      <c r="AM124" s="90"/>
      <c r="AN124" s="90"/>
      <c r="AO124" s="90"/>
      <c r="AP124" s="90"/>
      <c r="AQ124" s="90"/>
      <c r="AR124" s="90"/>
      <c r="AS124" s="90"/>
      <c r="AT124" s="90"/>
      <c r="AU124" s="90"/>
      <c r="AV124" s="90"/>
      <c r="AW124" s="90"/>
      <c r="AX124" s="90"/>
      <c r="AY124" s="90"/>
      <c r="AZ124" s="90"/>
      <c r="BA124" s="90"/>
      <c r="BB124" s="90"/>
      <c r="BC124" s="90"/>
      <c r="BD124" s="90"/>
      <c r="BE124" s="90"/>
      <c r="BF124" s="90"/>
      <c r="BG124" s="90"/>
      <c r="BH124" s="90"/>
      <c r="BI124" s="90"/>
      <c r="BJ124" s="90"/>
      <c r="BK124" s="90"/>
      <c r="BL124" s="90"/>
      <c r="BM124" s="90"/>
      <c r="BN124" s="90"/>
      <c r="BO124" s="90"/>
      <c r="BP124" s="90"/>
      <c r="BQ124" s="90"/>
      <c r="BR124" s="90"/>
      <c r="BS124" s="90"/>
      <c r="BT124" s="90"/>
      <c r="BU124" s="90"/>
      <c r="BV124" s="90"/>
      <c r="BW124" s="90"/>
      <c r="BX124" s="90"/>
      <c r="BY124" s="90"/>
      <c r="BZ124" s="90"/>
      <c r="CA124" s="90"/>
      <c r="CB124" s="90"/>
      <c r="CC124" s="90"/>
      <c r="CD124" s="90"/>
      <c r="CE124" s="90"/>
      <c r="CF124" s="90"/>
      <c r="CG124" s="90"/>
      <c r="CH124" s="90"/>
      <c r="CI124" s="90"/>
      <c r="CJ124" s="90"/>
      <c r="CK124" s="90"/>
      <c r="CL124" s="90"/>
      <c r="CM124" s="90"/>
      <c r="CN124" s="90"/>
      <c r="CO124" s="90"/>
      <c r="CP124" s="90"/>
      <c r="CQ124" s="90"/>
      <c r="CR124" s="90"/>
      <c r="CS124" s="90"/>
      <c r="CT124" s="90"/>
      <c r="CU124" s="90"/>
      <c r="CV124" s="90"/>
      <c r="CW124" s="90"/>
      <c r="CX124" s="90"/>
      <c r="CY124" s="90"/>
      <c r="CZ124" s="90"/>
      <c r="DA124" s="90"/>
      <c r="DB124" s="90"/>
      <c r="DC124" s="90"/>
      <c r="DD124" s="90"/>
      <c r="DE124" s="90"/>
      <c r="DF124" s="90"/>
      <c r="DG124" s="90"/>
      <c r="DH124" s="90"/>
      <c r="DI124" s="90"/>
      <c r="DJ124" s="90"/>
      <c r="DK124" s="90"/>
      <c r="DL124" s="90"/>
      <c r="DM124" s="90"/>
      <c r="DN124" s="90"/>
      <c r="DO124" s="90"/>
      <c r="DP124" s="90"/>
      <c r="DQ124" s="90"/>
      <c r="DR124" s="90"/>
      <c r="DS124" s="90"/>
      <c r="DT124" s="90"/>
      <c r="DU124" s="90"/>
      <c r="DV124" s="90"/>
      <c r="DW124" s="90"/>
      <c r="DX124" s="90"/>
      <c r="DY124" s="90"/>
      <c r="DZ124" s="90"/>
      <c r="EA124" s="90"/>
      <c r="EB124" s="90"/>
      <c r="EC124" s="90"/>
    </row>
    <row r="125" spans="1:133" s="89" customFormat="1" ht="15" customHeight="1" x14ac:dyDescent="0.2">
      <c r="A125" s="92"/>
      <c r="B125" s="90"/>
      <c r="C125" s="90"/>
      <c r="D125" s="90"/>
      <c r="E125" s="90"/>
      <c r="F125" s="90"/>
      <c r="G125" s="90"/>
      <c r="H125" s="90"/>
      <c r="I125" s="90"/>
      <c r="J125" s="90"/>
      <c r="K125" s="90"/>
      <c r="L125" s="90"/>
      <c r="M125" s="90"/>
      <c r="N125" s="90"/>
      <c r="O125" s="90"/>
      <c r="P125" s="90"/>
      <c r="Q125" s="90"/>
      <c r="R125" s="90"/>
      <c r="S125" s="90"/>
      <c r="T125" s="90"/>
      <c r="U125" s="90"/>
      <c r="V125" s="90"/>
      <c r="W125" s="90"/>
      <c r="X125" s="90"/>
      <c r="Y125" s="90"/>
      <c r="Z125" s="90"/>
      <c r="AA125" s="90"/>
      <c r="AB125" s="90"/>
      <c r="AC125" s="90"/>
      <c r="AD125" s="90"/>
      <c r="AE125" s="90"/>
      <c r="AF125" s="90"/>
      <c r="AG125" s="90"/>
      <c r="AH125" s="90"/>
      <c r="AI125" s="90"/>
      <c r="AJ125" s="90"/>
      <c r="AK125" s="90"/>
      <c r="AL125" s="90"/>
      <c r="AM125" s="90"/>
      <c r="AN125" s="90"/>
      <c r="AO125" s="90"/>
      <c r="AP125" s="90"/>
      <c r="AQ125" s="90"/>
      <c r="AR125" s="90"/>
      <c r="AS125" s="90"/>
      <c r="AT125" s="90"/>
      <c r="AU125" s="90"/>
      <c r="AV125" s="90"/>
      <c r="AW125" s="90"/>
      <c r="AX125" s="90"/>
      <c r="AY125" s="90"/>
      <c r="AZ125" s="90"/>
      <c r="BA125" s="90"/>
      <c r="BB125" s="90"/>
      <c r="BC125" s="90"/>
      <c r="BD125" s="90"/>
      <c r="BE125" s="90"/>
      <c r="BF125" s="90"/>
      <c r="BG125" s="90"/>
      <c r="BH125" s="90"/>
      <c r="BI125" s="90"/>
      <c r="BJ125" s="90"/>
      <c r="BK125" s="90"/>
      <c r="BL125" s="90"/>
      <c r="BM125" s="90"/>
      <c r="BN125" s="90"/>
      <c r="BO125" s="90"/>
      <c r="BP125" s="90"/>
      <c r="BQ125" s="90"/>
      <c r="BR125" s="90"/>
      <c r="BS125" s="90"/>
      <c r="BT125" s="90"/>
      <c r="BU125" s="90"/>
      <c r="BV125" s="90"/>
      <c r="BW125" s="90"/>
      <c r="BX125" s="90"/>
      <c r="BY125" s="90"/>
      <c r="BZ125" s="90"/>
      <c r="CA125" s="90"/>
      <c r="CB125" s="90"/>
      <c r="CC125" s="90"/>
      <c r="CD125" s="90"/>
      <c r="CE125" s="90"/>
      <c r="CF125" s="90"/>
      <c r="CG125" s="90"/>
      <c r="CH125" s="90"/>
      <c r="CI125" s="90"/>
      <c r="CJ125" s="90"/>
      <c r="CK125" s="90"/>
      <c r="CL125" s="90"/>
      <c r="CM125" s="90"/>
      <c r="CN125" s="90"/>
      <c r="CO125" s="90"/>
      <c r="CP125" s="90"/>
      <c r="CQ125" s="90"/>
      <c r="CR125" s="90"/>
      <c r="CS125" s="90"/>
      <c r="CT125" s="90"/>
      <c r="CU125" s="90"/>
      <c r="CV125" s="90"/>
      <c r="CW125" s="90"/>
      <c r="CX125" s="90"/>
      <c r="CY125" s="90"/>
      <c r="CZ125" s="90"/>
      <c r="DA125" s="90"/>
      <c r="DB125" s="90"/>
      <c r="DC125" s="90"/>
      <c r="DD125" s="90"/>
      <c r="DE125" s="90"/>
      <c r="DF125" s="90"/>
      <c r="DG125" s="90"/>
      <c r="DH125" s="90"/>
      <c r="DI125" s="90"/>
      <c r="DJ125" s="90"/>
      <c r="DK125" s="90"/>
      <c r="DL125" s="90"/>
      <c r="DM125" s="90"/>
      <c r="DN125" s="90"/>
      <c r="DO125" s="90"/>
      <c r="DP125" s="90"/>
      <c r="DQ125" s="90"/>
      <c r="DR125" s="90"/>
      <c r="DS125" s="90"/>
      <c r="DT125" s="90"/>
      <c r="DU125" s="90"/>
      <c r="DV125" s="90"/>
      <c r="DW125" s="90"/>
      <c r="DX125" s="90"/>
      <c r="DY125" s="90"/>
      <c r="DZ125" s="90"/>
      <c r="EA125" s="90"/>
      <c r="EB125" s="90"/>
      <c r="EC125" s="90"/>
    </row>
    <row r="126" spans="1:133" s="89" customFormat="1" ht="15" customHeight="1" x14ac:dyDescent="0.2">
      <c r="A126" s="92"/>
      <c r="B126" s="90"/>
      <c r="C126" s="90"/>
      <c r="D126" s="90"/>
      <c r="E126" s="90"/>
      <c r="F126" s="90"/>
      <c r="G126" s="90"/>
      <c r="H126" s="90"/>
      <c r="I126" s="90"/>
      <c r="J126" s="90"/>
      <c r="K126" s="90"/>
      <c r="L126" s="90"/>
      <c r="M126" s="90"/>
      <c r="N126" s="90"/>
      <c r="O126" s="90"/>
      <c r="P126" s="90"/>
      <c r="Q126" s="90"/>
      <c r="R126" s="90"/>
      <c r="S126" s="90"/>
      <c r="T126" s="90"/>
      <c r="U126" s="90"/>
      <c r="V126" s="90"/>
      <c r="W126" s="90"/>
      <c r="X126" s="90"/>
      <c r="Y126" s="90"/>
      <c r="Z126" s="90"/>
      <c r="AA126" s="90"/>
      <c r="AB126" s="90"/>
      <c r="AC126" s="90"/>
      <c r="AD126" s="90"/>
      <c r="AE126" s="90"/>
      <c r="AF126" s="90"/>
      <c r="AG126" s="90"/>
      <c r="AH126" s="90"/>
      <c r="AI126" s="90"/>
      <c r="AJ126" s="90"/>
      <c r="AK126" s="90"/>
      <c r="AL126" s="90"/>
      <c r="AM126" s="90"/>
      <c r="AN126" s="90"/>
      <c r="AO126" s="90"/>
      <c r="AP126" s="90"/>
      <c r="AQ126" s="90"/>
      <c r="AR126" s="90"/>
      <c r="AS126" s="90"/>
      <c r="AT126" s="90"/>
      <c r="AU126" s="90"/>
      <c r="AV126" s="90"/>
      <c r="AW126" s="90"/>
      <c r="AX126" s="90"/>
      <c r="AY126" s="90"/>
      <c r="AZ126" s="90"/>
      <c r="BA126" s="90"/>
      <c r="BB126" s="90"/>
      <c r="BC126" s="90"/>
      <c r="BD126" s="90"/>
      <c r="BE126" s="90"/>
      <c r="BF126" s="90"/>
      <c r="BG126" s="90"/>
      <c r="BH126" s="90"/>
      <c r="BI126" s="90"/>
      <c r="BJ126" s="90"/>
      <c r="BK126" s="90"/>
      <c r="BL126" s="90"/>
      <c r="BM126" s="90"/>
      <c r="BN126" s="90"/>
      <c r="BO126" s="90"/>
      <c r="BP126" s="90"/>
      <c r="BQ126" s="90"/>
      <c r="BR126" s="90"/>
      <c r="BS126" s="90"/>
      <c r="BT126" s="90"/>
      <c r="BU126" s="90"/>
      <c r="BV126" s="90"/>
      <c r="BW126" s="90"/>
      <c r="BX126" s="90"/>
      <c r="BY126" s="90"/>
      <c r="BZ126" s="90"/>
      <c r="CA126" s="90"/>
      <c r="CB126" s="90"/>
      <c r="CC126" s="90"/>
      <c r="CD126" s="90"/>
      <c r="CE126" s="90"/>
      <c r="CF126" s="90"/>
      <c r="CG126" s="90"/>
      <c r="CH126" s="90"/>
      <c r="CI126" s="90"/>
      <c r="CJ126" s="90"/>
      <c r="CK126" s="90"/>
      <c r="CL126" s="90"/>
      <c r="CM126" s="90"/>
      <c r="CN126" s="90"/>
      <c r="CO126" s="90"/>
      <c r="CP126" s="90"/>
      <c r="CQ126" s="90"/>
      <c r="CR126" s="90"/>
      <c r="CS126" s="90"/>
      <c r="CT126" s="90"/>
      <c r="CU126" s="90"/>
      <c r="CV126" s="90"/>
      <c r="CW126" s="90"/>
      <c r="CX126" s="90"/>
      <c r="CY126" s="90"/>
      <c r="CZ126" s="90"/>
      <c r="DA126" s="90"/>
      <c r="DB126" s="90"/>
      <c r="DC126" s="90"/>
      <c r="DD126" s="90"/>
      <c r="DE126" s="90"/>
      <c r="DF126" s="90"/>
      <c r="DG126" s="90"/>
      <c r="DH126" s="90"/>
      <c r="DI126" s="90"/>
      <c r="DJ126" s="90"/>
      <c r="DK126" s="90"/>
      <c r="DL126" s="90"/>
      <c r="DM126" s="90"/>
      <c r="DN126" s="90"/>
      <c r="DO126" s="90"/>
      <c r="DP126" s="90"/>
      <c r="DQ126" s="90"/>
      <c r="DR126" s="90"/>
      <c r="DS126" s="90"/>
      <c r="DT126" s="90"/>
      <c r="DU126" s="90"/>
      <c r="DV126" s="90"/>
      <c r="DW126" s="90"/>
      <c r="DX126" s="90"/>
      <c r="DY126" s="90"/>
      <c r="DZ126" s="90"/>
      <c r="EA126" s="90"/>
      <c r="EB126" s="90"/>
      <c r="EC126" s="90"/>
    </row>
    <row r="127" spans="1:133" s="89" customFormat="1" ht="15" customHeight="1" x14ac:dyDescent="0.2">
      <c r="A127" s="92"/>
      <c r="B127" s="90"/>
      <c r="C127" s="90"/>
      <c r="D127" s="90"/>
      <c r="E127" s="90"/>
      <c r="F127" s="90"/>
      <c r="G127" s="90"/>
      <c r="H127" s="90"/>
      <c r="I127" s="90"/>
      <c r="J127" s="90"/>
      <c r="K127" s="90"/>
      <c r="L127" s="90"/>
      <c r="M127" s="90"/>
      <c r="N127" s="90"/>
      <c r="O127" s="90"/>
      <c r="P127" s="90"/>
      <c r="Q127" s="90"/>
      <c r="R127" s="90"/>
      <c r="S127" s="90"/>
      <c r="T127" s="90"/>
      <c r="U127" s="90"/>
      <c r="V127" s="90"/>
      <c r="W127" s="90"/>
      <c r="X127" s="90"/>
      <c r="Y127" s="90"/>
      <c r="Z127" s="90"/>
      <c r="AA127" s="90"/>
      <c r="AB127" s="90"/>
      <c r="AC127" s="90"/>
      <c r="AD127" s="90"/>
      <c r="AE127" s="90"/>
      <c r="AF127" s="90"/>
      <c r="AG127" s="90"/>
      <c r="AH127" s="90"/>
      <c r="AI127" s="90"/>
      <c r="AJ127" s="90"/>
      <c r="AK127" s="90"/>
      <c r="AL127" s="90"/>
      <c r="AM127" s="90"/>
      <c r="AN127" s="90"/>
      <c r="AO127" s="90"/>
      <c r="AP127" s="90"/>
      <c r="AQ127" s="90"/>
      <c r="AR127" s="90"/>
      <c r="AS127" s="90"/>
      <c r="AT127" s="90"/>
      <c r="AU127" s="90"/>
      <c r="AV127" s="90"/>
      <c r="AW127" s="90"/>
      <c r="AX127" s="90"/>
      <c r="AY127" s="90"/>
      <c r="AZ127" s="90"/>
      <c r="BA127" s="90"/>
      <c r="BB127" s="90"/>
      <c r="BC127" s="90"/>
      <c r="BD127" s="90"/>
      <c r="BE127" s="90"/>
      <c r="BF127" s="90"/>
      <c r="BG127" s="90"/>
      <c r="BH127" s="90"/>
      <c r="BI127" s="90"/>
      <c r="BJ127" s="90"/>
      <c r="BK127" s="90"/>
      <c r="BL127" s="90"/>
      <c r="BM127" s="90"/>
      <c r="BN127" s="90"/>
      <c r="BO127" s="90"/>
      <c r="BP127" s="90"/>
      <c r="BQ127" s="90"/>
      <c r="BR127" s="90"/>
      <c r="BS127" s="90"/>
      <c r="BT127" s="90"/>
      <c r="BU127" s="90"/>
      <c r="BV127" s="90"/>
      <c r="BW127" s="90"/>
      <c r="BX127" s="90"/>
      <c r="BY127" s="90"/>
      <c r="BZ127" s="90"/>
      <c r="CA127" s="90"/>
      <c r="CB127" s="90"/>
      <c r="CC127" s="90"/>
      <c r="CD127" s="90"/>
      <c r="CE127" s="90"/>
      <c r="CF127" s="90"/>
      <c r="CG127" s="90"/>
      <c r="CH127" s="90"/>
      <c r="CI127" s="90"/>
      <c r="CJ127" s="90"/>
      <c r="CK127" s="90"/>
      <c r="CL127" s="90"/>
      <c r="CM127" s="90"/>
      <c r="CN127" s="90"/>
      <c r="CO127" s="90"/>
      <c r="CP127" s="90"/>
      <c r="CQ127" s="90"/>
      <c r="CR127" s="90"/>
      <c r="CS127" s="90"/>
      <c r="CT127" s="90"/>
      <c r="CU127" s="90"/>
      <c r="CV127" s="90"/>
      <c r="CW127" s="90"/>
      <c r="CX127" s="90"/>
      <c r="CY127" s="90"/>
      <c r="CZ127" s="90"/>
      <c r="DA127" s="90"/>
      <c r="DB127" s="90"/>
      <c r="DC127" s="90"/>
      <c r="DD127" s="90"/>
      <c r="DE127" s="90"/>
      <c r="DF127" s="90"/>
      <c r="DG127" s="90"/>
      <c r="DH127" s="90"/>
      <c r="DI127" s="90"/>
      <c r="DJ127" s="90"/>
      <c r="DK127" s="90"/>
      <c r="DL127" s="90"/>
      <c r="DM127" s="90"/>
      <c r="DN127" s="90"/>
      <c r="DO127" s="90"/>
      <c r="DP127" s="90"/>
      <c r="DQ127" s="90"/>
      <c r="DR127" s="90"/>
      <c r="DS127" s="90"/>
      <c r="DT127" s="90"/>
      <c r="DU127" s="90"/>
      <c r="DV127" s="90"/>
      <c r="DW127" s="90"/>
      <c r="DX127" s="90"/>
      <c r="DY127" s="90"/>
      <c r="DZ127" s="90"/>
      <c r="EA127" s="90"/>
      <c r="EB127" s="90"/>
      <c r="EC127" s="90"/>
    </row>
    <row r="128" spans="1:133" s="89" customFormat="1" ht="15" customHeight="1" x14ac:dyDescent="0.2">
      <c r="A128" s="92"/>
      <c r="B128" s="90"/>
      <c r="C128" s="90"/>
      <c r="D128" s="90"/>
      <c r="E128" s="90"/>
      <c r="F128" s="90"/>
      <c r="G128" s="90"/>
      <c r="H128" s="90"/>
      <c r="I128" s="90"/>
      <c r="J128" s="90"/>
      <c r="K128" s="90"/>
      <c r="L128" s="90"/>
      <c r="M128" s="90"/>
      <c r="N128" s="90"/>
      <c r="O128" s="90"/>
      <c r="P128" s="90"/>
      <c r="Q128" s="90"/>
      <c r="R128" s="90"/>
      <c r="S128" s="90"/>
      <c r="T128" s="90"/>
      <c r="U128" s="90"/>
      <c r="V128" s="90"/>
      <c r="W128" s="90"/>
      <c r="X128" s="90"/>
      <c r="Y128" s="90"/>
      <c r="Z128" s="90"/>
      <c r="AA128" s="90"/>
      <c r="AB128" s="90"/>
      <c r="AC128" s="90"/>
      <c r="AD128" s="90"/>
      <c r="AE128" s="90"/>
      <c r="AF128" s="90"/>
      <c r="AG128" s="90"/>
      <c r="AH128" s="90"/>
      <c r="AI128" s="90"/>
      <c r="AJ128" s="90"/>
      <c r="AK128" s="90"/>
      <c r="AL128" s="90"/>
      <c r="AM128" s="90"/>
      <c r="AN128" s="90"/>
      <c r="AO128" s="90"/>
      <c r="AP128" s="90"/>
      <c r="AQ128" s="90"/>
      <c r="AR128" s="90"/>
      <c r="AS128" s="90"/>
      <c r="AT128" s="90"/>
      <c r="AU128" s="90"/>
      <c r="AV128" s="90"/>
      <c r="AW128" s="90"/>
      <c r="AX128" s="90"/>
      <c r="AY128" s="90"/>
      <c r="AZ128" s="90"/>
      <c r="BA128" s="90"/>
      <c r="BB128" s="90"/>
      <c r="BC128" s="90"/>
      <c r="BD128" s="90"/>
      <c r="BE128" s="90"/>
      <c r="BF128" s="90"/>
      <c r="BG128" s="90"/>
      <c r="BH128" s="90"/>
      <c r="BI128" s="90"/>
      <c r="BJ128" s="90"/>
      <c r="BK128" s="90"/>
      <c r="BL128" s="90"/>
      <c r="BM128" s="90"/>
      <c r="BN128" s="90"/>
      <c r="BO128" s="90"/>
      <c r="BP128" s="90"/>
      <c r="BQ128" s="90"/>
      <c r="BR128" s="90"/>
      <c r="BS128" s="90"/>
      <c r="BT128" s="90"/>
      <c r="BU128" s="90"/>
      <c r="BV128" s="90"/>
      <c r="BW128" s="90"/>
      <c r="BX128" s="90"/>
      <c r="BY128" s="90"/>
      <c r="BZ128" s="90"/>
      <c r="CA128" s="90"/>
      <c r="CB128" s="90"/>
      <c r="CC128" s="90"/>
      <c r="CD128" s="90"/>
      <c r="CE128" s="90"/>
      <c r="CF128" s="90"/>
      <c r="CG128" s="90"/>
      <c r="CH128" s="90"/>
      <c r="CI128" s="90"/>
      <c r="CJ128" s="90"/>
      <c r="CK128" s="90"/>
      <c r="CL128" s="90"/>
      <c r="CM128" s="90"/>
      <c r="CN128" s="90"/>
      <c r="CO128" s="90"/>
      <c r="CP128" s="90"/>
      <c r="CQ128" s="90"/>
      <c r="CR128" s="90"/>
      <c r="CS128" s="90"/>
      <c r="CT128" s="90"/>
      <c r="CU128" s="90"/>
      <c r="CV128" s="90"/>
      <c r="CW128" s="90"/>
      <c r="CX128" s="90"/>
      <c r="CY128" s="90"/>
      <c r="CZ128" s="90"/>
      <c r="DA128" s="90"/>
      <c r="DB128" s="90"/>
      <c r="DC128" s="90"/>
      <c r="DD128" s="90"/>
      <c r="DE128" s="90"/>
      <c r="DF128" s="90"/>
      <c r="DG128" s="90"/>
      <c r="DH128" s="90"/>
      <c r="DI128" s="90"/>
      <c r="DJ128" s="90"/>
      <c r="DK128" s="90"/>
      <c r="DL128" s="90"/>
      <c r="DM128" s="90"/>
      <c r="DN128" s="90"/>
      <c r="DO128" s="90"/>
      <c r="DP128" s="90"/>
      <c r="DQ128" s="90"/>
      <c r="DR128" s="90"/>
      <c r="DS128" s="90"/>
      <c r="DT128" s="90"/>
      <c r="DU128" s="90"/>
      <c r="DV128" s="90"/>
      <c r="DW128" s="90"/>
      <c r="DX128" s="90"/>
      <c r="DY128" s="90"/>
      <c r="DZ128" s="90"/>
      <c r="EA128" s="90"/>
      <c r="EB128" s="90"/>
      <c r="EC128" s="90"/>
    </row>
    <row r="129" spans="1:133" s="89" customFormat="1" ht="15" customHeight="1" x14ac:dyDescent="0.2">
      <c r="A129" s="92"/>
      <c r="B129" s="90"/>
      <c r="C129" s="90"/>
      <c r="D129" s="90"/>
      <c r="E129" s="90"/>
      <c r="F129" s="90"/>
      <c r="G129" s="90"/>
      <c r="H129" s="90"/>
      <c r="I129" s="90"/>
      <c r="J129" s="90"/>
      <c r="K129" s="90"/>
      <c r="L129" s="90"/>
      <c r="M129" s="90"/>
      <c r="N129" s="90"/>
      <c r="O129" s="90"/>
      <c r="P129" s="90"/>
      <c r="Q129" s="90"/>
      <c r="R129" s="90"/>
      <c r="S129" s="90"/>
      <c r="T129" s="90"/>
      <c r="U129" s="90"/>
      <c r="V129" s="90"/>
      <c r="W129" s="90"/>
      <c r="X129" s="90"/>
      <c r="Y129" s="90"/>
      <c r="Z129" s="90"/>
      <c r="AA129" s="90"/>
      <c r="AB129" s="90"/>
      <c r="AC129" s="90"/>
      <c r="AD129" s="90"/>
      <c r="AE129" s="90"/>
      <c r="AF129" s="90"/>
      <c r="AG129" s="90"/>
      <c r="AH129" s="90"/>
      <c r="AI129" s="90"/>
      <c r="AJ129" s="90"/>
      <c r="AK129" s="90"/>
      <c r="AL129" s="90"/>
      <c r="AM129" s="90"/>
      <c r="AN129" s="90"/>
      <c r="AO129" s="90"/>
      <c r="AP129" s="90"/>
      <c r="AQ129" s="90"/>
      <c r="AR129" s="90"/>
      <c r="AS129" s="90"/>
      <c r="AT129" s="90"/>
      <c r="AU129" s="90"/>
      <c r="AV129" s="90"/>
      <c r="AW129" s="90"/>
      <c r="AX129" s="90"/>
      <c r="AY129" s="90"/>
      <c r="AZ129" s="90"/>
      <c r="BA129" s="90"/>
      <c r="BB129" s="90"/>
      <c r="BC129" s="90"/>
      <c r="BD129" s="90"/>
      <c r="BE129" s="90"/>
      <c r="BF129" s="90"/>
      <c r="BG129" s="90"/>
      <c r="BH129" s="90"/>
      <c r="BI129" s="90"/>
      <c r="BJ129" s="90"/>
      <c r="BK129" s="90"/>
      <c r="BL129" s="90"/>
      <c r="BM129" s="90"/>
      <c r="BN129" s="90"/>
      <c r="BO129" s="90"/>
      <c r="BP129" s="90"/>
      <c r="BQ129" s="90"/>
      <c r="BR129" s="90"/>
      <c r="BS129" s="90"/>
      <c r="BT129" s="90"/>
      <c r="BU129" s="90"/>
      <c r="BV129" s="90"/>
      <c r="BW129" s="90"/>
      <c r="BX129" s="90"/>
      <c r="BY129" s="90"/>
      <c r="BZ129" s="90"/>
      <c r="CA129" s="90"/>
      <c r="CB129" s="90"/>
      <c r="CC129" s="90"/>
      <c r="CD129" s="90"/>
      <c r="CE129" s="90"/>
      <c r="CF129" s="90"/>
      <c r="CG129" s="90"/>
      <c r="CH129" s="90"/>
      <c r="CI129" s="90"/>
      <c r="CJ129" s="90"/>
      <c r="CK129" s="90"/>
      <c r="CL129" s="90"/>
      <c r="CM129" s="90"/>
      <c r="CN129" s="90"/>
      <c r="CO129" s="90"/>
      <c r="CP129" s="90"/>
      <c r="CQ129" s="90"/>
      <c r="CR129" s="90"/>
      <c r="CS129" s="90"/>
      <c r="CT129" s="90"/>
      <c r="CU129" s="90"/>
      <c r="CV129" s="90"/>
      <c r="CW129" s="90"/>
      <c r="CX129" s="90"/>
      <c r="CY129" s="90"/>
      <c r="CZ129" s="90"/>
      <c r="DA129" s="90"/>
      <c r="DB129" s="90"/>
      <c r="DC129" s="90"/>
      <c r="DD129" s="90"/>
      <c r="DE129" s="90"/>
      <c r="DF129" s="90"/>
      <c r="DG129" s="90"/>
      <c r="DH129" s="90"/>
      <c r="DI129" s="90"/>
      <c r="DJ129" s="90"/>
      <c r="DK129" s="90"/>
      <c r="DL129" s="90"/>
      <c r="DM129" s="90"/>
      <c r="DN129" s="90"/>
      <c r="DO129" s="90"/>
      <c r="DP129" s="90"/>
      <c r="DQ129" s="90"/>
      <c r="DR129" s="90"/>
      <c r="DS129" s="90"/>
      <c r="DT129" s="90"/>
      <c r="DU129" s="90"/>
      <c r="DV129" s="90"/>
      <c r="DW129" s="90"/>
      <c r="DX129" s="90"/>
      <c r="DY129" s="90"/>
      <c r="DZ129" s="90"/>
      <c r="EA129" s="90"/>
      <c r="EB129" s="90"/>
      <c r="EC129" s="90"/>
    </row>
    <row r="130" spans="1:133" s="89" customFormat="1" ht="15" customHeight="1" x14ac:dyDescent="0.2">
      <c r="A130" s="92"/>
      <c r="B130" s="90"/>
      <c r="C130" s="90"/>
      <c r="D130" s="90"/>
      <c r="E130" s="90"/>
      <c r="F130" s="90"/>
      <c r="G130" s="90"/>
      <c r="H130" s="90"/>
      <c r="I130" s="90"/>
      <c r="J130" s="90"/>
      <c r="K130" s="90"/>
      <c r="L130" s="90"/>
      <c r="M130" s="90"/>
      <c r="N130" s="90"/>
      <c r="O130" s="90"/>
      <c r="P130" s="90"/>
      <c r="Q130" s="90"/>
      <c r="R130" s="90"/>
      <c r="S130" s="90"/>
      <c r="T130" s="90"/>
      <c r="U130" s="90"/>
      <c r="V130" s="90"/>
      <c r="W130" s="90"/>
      <c r="X130" s="90"/>
      <c r="Y130" s="90"/>
      <c r="Z130" s="90"/>
      <c r="AA130" s="90"/>
      <c r="AB130" s="90"/>
      <c r="AC130" s="90"/>
      <c r="AD130" s="90"/>
      <c r="AE130" s="90"/>
      <c r="AF130" s="90"/>
      <c r="AG130" s="90"/>
      <c r="AH130" s="90"/>
      <c r="AI130" s="90"/>
      <c r="AJ130" s="90"/>
      <c r="AK130" s="90"/>
      <c r="AL130" s="90"/>
      <c r="AM130" s="90"/>
      <c r="AN130" s="90"/>
      <c r="AO130" s="90"/>
      <c r="AP130" s="90"/>
      <c r="AQ130" s="90"/>
      <c r="AR130" s="90"/>
      <c r="AS130" s="90"/>
      <c r="AT130" s="90"/>
      <c r="AU130" s="90"/>
      <c r="AV130" s="90"/>
      <c r="AW130" s="90"/>
      <c r="AX130" s="90"/>
      <c r="AY130" s="90"/>
      <c r="AZ130" s="90"/>
      <c r="BA130" s="90"/>
      <c r="BB130" s="90"/>
      <c r="BC130" s="90"/>
      <c r="BD130" s="90"/>
      <c r="BE130" s="90"/>
      <c r="BF130" s="90"/>
      <c r="BG130" s="90"/>
      <c r="BH130" s="90"/>
      <c r="BI130" s="90"/>
      <c r="BJ130" s="90"/>
      <c r="BK130" s="90"/>
      <c r="BL130" s="90"/>
      <c r="BM130" s="90"/>
      <c r="BN130" s="90"/>
      <c r="BO130" s="90"/>
      <c r="BP130" s="90"/>
      <c r="BQ130" s="90"/>
      <c r="BR130" s="90"/>
      <c r="BS130" s="90"/>
      <c r="BT130" s="90"/>
      <c r="BU130" s="90"/>
      <c r="BV130" s="90"/>
      <c r="BW130" s="90"/>
      <c r="BX130" s="90"/>
      <c r="BY130" s="90"/>
      <c r="BZ130" s="90"/>
      <c r="CA130" s="90"/>
      <c r="CB130" s="90"/>
      <c r="CC130" s="90"/>
      <c r="CD130" s="90"/>
      <c r="CE130" s="90"/>
      <c r="CF130" s="90"/>
      <c r="CG130" s="90"/>
      <c r="CH130" s="90"/>
      <c r="CI130" s="90"/>
      <c r="CJ130" s="90"/>
      <c r="CK130" s="90"/>
      <c r="CL130" s="90"/>
      <c r="CM130" s="90"/>
      <c r="CN130" s="90"/>
      <c r="CO130" s="90"/>
      <c r="CP130" s="90"/>
      <c r="CQ130" s="90"/>
      <c r="CR130" s="90"/>
      <c r="CS130" s="90"/>
      <c r="CT130" s="90"/>
      <c r="CU130" s="90"/>
      <c r="CV130" s="90"/>
      <c r="CW130" s="90"/>
      <c r="CX130" s="90"/>
      <c r="CY130" s="90"/>
      <c r="CZ130" s="90"/>
      <c r="DA130" s="90"/>
      <c r="DB130" s="90"/>
      <c r="DC130" s="90"/>
      <c r="DD130" s="90"/>
      <c r="DE130" s="90"/>
      <c r="DF130" s="90"/>
      <c r="DG130" s="90"/>
      <c r="DH130" s="90"/>
      <c r="DI130" s="90"/>
      <c r="DJ130" s="90"/>
      <c r="DK130" s="90"/>
      <c r="DL130" s="90"/>
      <c r="DM130" s="90"/>
      <c r="DN130" s="90"/>
      <c r="DO130" s="90"/>
      <c r="DP130" s="90"/>
      <c r="DQ130" s="90"/>
      <c r="DR130" s="90"/>
      <c r="DS130" s="90"/>
      <c r="DT130" s="90"/>
      <c r="DU130" s="90"/>
      <c r="DV130" s="90"/>
      <c r="DW130" s="90"/>
      <c r="DX130" s="90"/>
      <c r="DY130" s="90"/>
      <c r="DZ130" s="90"/>
      <c r="EA130" s="90"/>
      <c r="EB130" s="90"/>
      <c r="EC130" s="90"/>
    </row>
    <row r="131" spans="1:133" s="89" customFormat="1" ht="15" customHeight="1" x14ac:dyDescent="0.2">
      <c r="A131" s="92"/>
      <c r="B131" s="90"/>
      <c r="C131" s="90"/>
      <c r="D131" s="90"/>
      <c r="E131" s="90"/>
      <c r="F131" s="90"/>
      <c r="G131" s="90"/>
      <c r="H131" s="90"/>
      <c r="I131" s="90"/>
      <c r="J131" s="90"/>
      <c r="K131" s="90"/>
      <c r="L131" s="90"/>
      <c r="M131" s="90"/>
      <c r="N131" s="90"/>
      <c r="O131" s="90"/>
      <c r="P131" s="90"/>
      <c r="Q131" s="90"/>
      <c r="R131" s="90"/>
      <c r="S131" s="90"/>
      <c r="T131" s="90"/>
      <c r="U131" s="90"/>
      <c r="V131" s="90"/>
      <c r="W131" s="90"/>
      <c r="X131" s="90"/>
      <c r="Y131" s="90"/>
      <c r="Z131" s="90"/>
      <c r="AA131" s="90"/>
      <c r="AB131" s="90"/>
      <c r="AC131" s="90"/>
      <c r="AD131" s="90"/>
      <c r="AE131" s="90"/>
      <c r="AF131" s="90"/>
      <c r="AG131" s="90"/>
      <c r="AH131" s="90"/>
      <c r="AI131" s="90"/>
      <c r="AJ131" s="90"/>
      <c r="AK131" s="90"/>
      <c r="AL131" s="90"/>
      <c r="AM131" s="90"/>
      <c r="AN131" s="90"/>
      <c r="AO131" s="90"/>
      <c r="AP131" s="90"/>
      <c r="AQ131" s="90"/>
      <c r="AR131" s="90"/>
      <c r="AS131" s="90"/>
      <c r="AT131" s="90"/>
      <c r="AU131" s="90"/>
      <c r="AV131" s="90"/>
      <c r="AW131" s="90"/>
      <c r="AX131" s="90"/>
      <c r="AY131" s="90"/>
      <c r="AZ131" s="90"/>
      <c r="BA131" s="90"/>
      <c r="BB131" s="90"/>
      <c r="BC131" s="90"/>
      <c r="BD131" s="90"/>
      <c r="BE131" s="90"/>
      <c r="BF131" s="90"/>
      <c r="BG131" s="90"/>
      <c r="BH131" s="90"/>
      <c r="BI131" s="90"/>
      <c r="BJ131" s="90"/>
      <c r="BK131" s="90"/>
      <c r="BL131" s="90"/>
      <c r="BM131" s="90"/>
      <c r="BN131" s="90"/>
      <c r="BO131" s="90"/>
      <c r="BP131" s="90"/>
      <c r="BQ131" s="90"/>
      <c r="BR131" s="90"/>
      <c r="BS131" s="90"/>
      <c r="BT131" s="90"/>
      <c r="BU131" s="90"/>
      <c r="BV131" s="90"/>
      <c r="BW131" s="90"/>
      <c r="BX131" s="90"/>
      <c r="BY131" s="90"/>
      <c r="BZ131" s="90"/>
      <c r="CA131" s="90"/>
      <c r="CB131" s="90"/>
      <c r="CC131" s="90"/>
      <c r="CD131" s="90"/>
      <c r="CE131" s="90"/>
      <c r="CF131" s="90"/>
      <c r="CG131" s="90"/>
      <c r="CH131" s="90"/>
      <c r="CI131" s="90"/>
      <c r="CJ131" s="90"/>
      <c r="CK131" s="90"/>
      <c r="CL131" s="90"/>
      <c r="CM131" s="90"/>
      <c r="CN131" s="90"/>
      <c r="CO131" s="90"/>
      <c r="CP131" s="90"/>
      <c r="CQ131" s="90"/>
      <c r="CR131" s="90"/>
      <c r="CS131" s="90"/>
      <c r="CT131" s="90"/>
      <c r="CU131" s="90"/>
      <c r="CV131" s="90"/>
      <c r="CW131" s="90"/>
      <c r="CX131" s="90"/>
      <c r="CY131" s="90"/>
      <c r="CZ131" s="90"/>
      <c r="DA131" s="90"/>
      <c r="DB131" s="90"/>
      <c r="DC131" s="90"/>
      <c r="DD131" s="90"/>
      <c r="DE131" s="90"/>
      <c r="DF131" s="90"/>
      <c r="DG131" s="90"/>
      <c r="DH131" s="90"/>
      <c r="DI131" s="90"/>
      <c r="DJ131" s="90"/>
      <c r="DK131" s="90"/>
      <c r="DL131" s="90"/>
      <c r="DM131" s="90"/>
      <c r="DN131" s="90"/>
      <c r="DO131" s="90"/>
      <c r="DP131" s="90"/>
      <c r="DQ131" s="90"/>
      <c r="DR131" s="90"/>
      <c r="DS131" s="90"/>
      <c r="DT131" s="90"/>
      <c r="DU131" s="90"/>
      <c r="DV131" s="90"/>
      <c r="DW131" s="90"/>
      <c r="DX131" s="90"/>
      <c r="DY131" s="90"/>
      <c r="DZ131" s="90"/>
      <c r="EA131" s="90"/>
      <c r="EB131" s="90"/>
      <c r="EC131" s="90"/>
    </row>
    <row r="132" spans="1:133" s="89" customFormat="1" ht="15" customHeight="1" x14ac:dyDescent="0.2">
      <c r="A132" s="92"/>
      <c r="B132" s="90"/>
      <c r="C132" s="90"/>
      <c r="D132" s="90"/>
      <c r="E132" s="90"/>
      <c r="F132" s="90"/>
      <c r="G132" s="90"/>
      <c r="H132" s="90"/>
      <c r="I132" s="90"/>
      <c r="J132" s="90"/>
      <c r="K132" s="90"/>
      <c r="L132" s="90"/>
      <c r="M132" s="90"/>
      <c r="N132" s="90"/>
      <c r="O132" s="90"/>
      <c r="P132" s="90"/>
      <c r="Q132" s="90"/>
      <c r="R132" s="90"/>
      <c r="S132" s="90"/>
      <c r="T132" s="90"/>
      <c r="U132" s="90"/>
      <c r="V132" s="90"/>
      <c r="W132" s="90"/>
      <c r="X132" s="90"/>
      <c r="Y132" s="90"/>
      <c r="Z132" s="90"/>
      <c r="AA132" s="90"/>
      <c r="AB132" s="90"/>
      <c r="AC132" s="90"/>
      <c r="AD132" s="90"/>
      <c r="AE132" s="90"/>
      <c r="AF132" s="90"/>
      <c r="AG132" s="90"/>
      <c r="AH132" s="90"/>
      <c r="AI132" s="90"/>
      <c r="AJ132" s="90"/>
      <c r="AK132" s="90"/>
      <c r="AL132" s="90"/>
      <c r="AM132" s="90"/>
      <c r="AN132" s="90"/>
      <c r="AO132" s="90"/>
      <c r="AP132" s="90"/>
      <c r="AQ132" s="90"/>
      <c r="AR132" s="90"/>
      <c r="AS132" s="90"/>
      <c r="AT132" s="90"/>
      <c r="AU132" s="90"/>
      <c r="AV132" s="90"/>
      <c r="AW132" s="90"/>
      <c r="AX132" s="90"/>
      <c r="AY132" s="90"/>
      <c r="AZ132" s="90"/>
      <c r="BA132" s="90"/>
      <c r="BB132" s="90"/>
      <c r="BC132" s="90"/>
      <c r="BD132" s="90"/>
      <c r="BE132" s="90"/>
      <c r="BF132" s="90"/>
      <c r="BG132" s="90"/>
      <c r="BH132" s="90"/>
      <c r="BI132" s="90"/>
      <c r="BJ132" s="90"/>
      <c r="BK132" s="90"/>
      <c r="BL132" s="90"/>
      <c r="BM132" s="90"/>
      <c r="BN132" s="90"/>
      <c r="BO132" s="90"/>
      <c r="BP132" s="90"/>
      <c r="BQ132" s="90"/>
      <c r="BR132" s="90"/>
      <c r="BS132" s="90"/>
      <c r="BT132" s="90"/>
      <c r="BU132" s="90"/>
      <c r="BV132" s="90"/>
      <c r="BW132" s="90"/>
      <c r="BX132" s="90"/>
      <c r="BY132" s="90"/>
      <c r="BZ132" s="90"/>
      <c r="CA132" s="90"/>
      <c r="CB132" s="90"/>
      <c r="CC132" s="90"/>
      <c r="CD132" s="90"/>
      <c r="CE132" s="90"/>
      <c r="CF132" s="90"/>
      <c r="CG132" s="90"/>
      <c r="CH132" s="90"/>
      <c r="CI132" s="90"/>
      <c r="CJ132" s="90"/>
      <c r="CK132" s="90"/>
      <c r="CL132" s="90"/>
      <c r="CM132" s="90"/>
      <c r="CN132" s="90"/>
      <c r="CO132" s="90"/>
      <c r="CP132" s="90"/>
      <c r="CQ132" s="90"/>
      <c r="CR132" s="90"/>
      <c r="CS132" s="90"/>
      <c r="CT132" s="90"/>
      <c r="CU132" s="90"/>
      <c r="CV132" s="90"/>
      <c r="CW132" s="90"/>
      <c r="CX132" s="90"/>
      <c r="CY132" s="90"/>
      <c r="CZ132" s="90"/>
      <c r="DA132" s="90"/>
      <c r="DB132" s="90"/>
      <c r="DC132" s="90"/>
      <c r="DD132" s="90"/>
      <c r="DE132" s="90"/>
      <c r="DF132" s="90"/>
      <c r="DG132" s="90"/>
      <c r="DH132" s="90"/>
      <c r="DI132" s="90"/>
      <c r="DJ132" s="90"/>
      <c r="DK132" s="90"/>
      <c r="DL132" s="90"/>
      <c r="DM132" s="90"/>
      <c r="DN132" s="90"/>
      <c r="DO132" s="90"/>
      <c r="DP132" s="90"/>
      <c r="DQ132" s="90"/>
      <c r="DR132" s="90"/>
      <c r="DS132" s="90"/>
      <c r="DT132" s="90"/>
      <c r="DU132" s="90"/>
      <c r="DV132" s="90"/>
      <c r="DW132" s="90"/>
      <c r="DX132" s="90"/>
      <c r="DY132" s="90"/>
      <c r="DZ132" s="90"/>
      <c r="EA132" s="90"/>
      <c r="EB132" s="90"/>
      <c r="EC132" s="90"/>
    </row>
  </sheetData>
  <customSheetViews>
    <customSheetView guid="{B7440494-8EA9-4463-9947-E5D20E74049D}" showGridLines="0">
      <pane xSplit="1" ySplit="10" topLeftCell="DK11" activePane="bottomRight" state="frozen"/>
      <selection pane="bottomRight" activeCell="DQ11" sqref="DQ11"/>
      <colBreaks count="9" manualBreakCount="9">
        <brk id="13" max="50" man="1"/>
        <brk id="25" max="50" man="1"/>
        <brk id="37" max="50" man="1"/>
        <brk id="49" max="50" man="1"/>
        <brk id="61" max="50" man="1"/>
        <brk id="73" max="50" man="1"/>
        <brk id="85" max="50" man="1"/>
        <brk id="97" max="50" man="1"/>
        <brk id="109" max="50" man="1"/>
      </colBreaks>
      <pageMargins left="0" right="0" top="0.19685039370078741" bottom="0.19685039370078741" header="0" footer="0"/>
      <printOptions horizontalCentered="1" verticalCentered="1"/>
      <pageSetup paperSize="9" scale="70" orientation="landscape" r:id="rId1"/>
      <headerFooter alignWithMargins="0">
        <oddHeader>&amp;R&amp;P/&amp;N</oddHeader>
      </headerFooter>
    </customSheetView>
    <customSheetView guid="{6D89F6EF-F5AD-478F-979A-5AF1BC78EF91}" showGridLines="0">
      <pane xSplit="2" ySplit="12" topLeftCell="C35" activePane="bottomRight" state="frozen"/>
      <selection pane="bottomRight" activeCell="C13" sqref="C13:G47"/>
      <colBreaks count="6" manualBreakCount="6">
        <brk id="25" max="51" man="1"/>
        <brk id="49" max="51" man="1"/>
        <brk id="73" max="51" man="1"/>
        <brk id="97" max="51" man="1"/>
        <brk id="121" max="51" man="1"/>
        <brk id="145" max="51" man="1"/>
      </colBreaks>
      <pageMargins left="0" right="0" top="0.15748031496062992" bottom="0" header="0.15748031496062992" footer="0"/>
      <printOptions horizontalCentered="1" verticalCentered="1"/>
      <pageSetup paperSize="9" scale="48" fitToHeight="0" orientation="landscape" r:id="rId2"/>
      <headerFooter alignWithMargins="0"/>
    </customSheetView>
    <customSheetView guid="{A9134056-6B1C-4A42-AFE9-9712EF3EF3D4}" showPageBreaks="1" showGridLines="0" printArea="1">
      <pane xSplit="2" ySplit="12" topLeftCell="C35" activePane="bottomRight" state="frozen"/>
      <selection pane="bottomRight" activeCell="B7" sqref="B7:D7"/>
      <colBreaks count="7" manualBreakCount="7">
        <brk id="22" max="49" man="1"/>
        <brk id="25" max="51" man="1"/>
        <brk id="49" max="51" man="1"/>
        <brk id="73" max="51" man="1"/>
        <brk id="97" max="51" man="1"/>
        <brk id="121" max="51" man="1"/>
        <brk id="145" max="51" man="1"/>
      </colBreaks>
      <pageMargins left="0" right="0" top="0.15748031496062992" bottom="0" header="0.15748031496062992" footer="0"/>
      <printOptions horizontalCentered="1" verticalCentered="1"/>
      <pageSetup paperSize="9" scale="48" fitToHeight="0" orientation="landscape" r:id="rId3"/>
      <headerFooter alignWithMargins="0"/>
    </customSheetView>
  </customSheetViews>
  <mergeCells count="176">
    <mergeCell ref="EA7:EC7"/>
    <mergeCell ref="EA8:EA9"/>
    <mergeCell ref="EB8:EB9"/>
    <mergeCell ref="EC8:EC9"/>
    <mergeCell ref="DM8:DM9"/>
    <mergeCell ref="DN8:DN9"/>
    <mergeCell ref="DO8:DO9"/>
    <mergeCell ref="DP8:DP9"/>
    <mergeCell ref="DQ8:DQ9"/>
    <mergeCell ref="DX7:DZ7"/>
    <mergeCell ref="DX8:DX9"/>
    <mergeCell ref="DY8:DY9"/>
    <mergeCell ref="DZ8:DZ9"/>
    <mergeCell ref="DU7:DW7"/>
    <mergeCell ref="DU8:DU9"/>
    <mergeCell ref="DV8:DV9"/>
    <mergeCell ref="DW8:DW9"/>
    <mergeCell ref="DR7:DT7"/>
    <mergeCell ref="DR8:DR9"/>
    <mergeCell ref="DS8:DS9"/>
    <mergeCell ref="DT8:DT9"/>
    <mergeCell ref="DH8:DH9"/>
    <mergeCell ref="DI8:DI9"/>
    <mergeCell ref="DJ8:DJ9"/>
    <mergeCell ref="DK8:DK9"/>
    <mergeCell ref="DL8:DL9"/>
    <mergeCell ref="DC8:DC9"/>
    <mergeCell ref="DD8:DD9"/>
    <mergeCell ref="DE8:DE9"/>
    <mergeCell ref="DF8:DF9"/>
    <mergeCell ref="DG8:DG9"/>
    <mergeCell ref="CX8:CX9"/>
    <mergeCell ref="CY8:CY9"/>
    <mergeCell ref="CZ8:CZ9"/>
    <mergeCell ref="DA8:DA9"/>
    <mergeCell ref="DB8:DB9"/>
    <mergeCell ref="CS8:CS9"/>
    <mergeCell ref="CT8:CT9"/>
    <mergeCell ref="CU8:CU9"/>
    <mergeCell ref="CV8:CV9"/>
    <mergeCell ref="CW8:CW9"/>
    <mergeCell ref="CN8:CN9"/>
    <mergeCell ref="CO8:CO9"/>
    <mergeCell ref="CP8:CP9"/>
    <mergeCell ref="CQ8:CQ9"/>
    <mergeCell ref="CR8:CR9"/>
    <mergeCell ref="CI8:CI9"/>
    <mergeCell ref="CJ8:CJ9"/>
    <mergeCell ref="CK8:CK9"/>
    <mergeCell ref="CL8:CL9"/>
    <mergeCell ref="CM8:CM9"/>
    <mergeCell ref="CD8:CD9"/>
    <mergeCell ref="CE8:CE9"/>
    <mergeCell ref="CF8:CF9"/>
    <mergeCell ref="CG8:CG9"/>
    <mergeCell ref="CH8:CH9"/>
    <mergeCell ref="BY8:BY9"/>
    <mergeCell ref="BZ8:BZ9"/>
    <mergeCell ref="CA8:CA9"/>
    <mergeCell ref="CB8:CB9"/>
    <mergeCell ref="CC8:CC9"/>
    <mergeCell ref="BT8:BT9"/>
    <mergeCell ref="BU8:BU9"/>
    <mergeCell ref="BV8:BV9"/>
    <mergeCell ref="BW8:BW9"/>
    <mergeCell ref="BX8:BX9"/>
    <mergeCell ref="BO8:BO9"/>
    <mergeCell ref="BP8:BP9"/>
    <mergeCell ref="BQ8:BQ9"/>
    <mergeCell ref="BR8:BR9"/>
    <mergeCell ref="BS8:BS9"/>
    <mergeCell ref="BJ8:BJ9"/>
    <mergeCell ref="BK8:BK9"/>
    <mergeCell ref="BL8:BL9"/>
    <mergeCell ref="BM8:BM9"/>
    <mergeCell ref="BN8:BN9"/>
    <mergeCell ref="BE8:BE9"/>
    <mergeCell ref="BF8:BF9"/>
    <mergeCell ref="BG8:BG9"/>
    <mergeCell ref="BH8:BH9"/>
    <mergeCell ref="BI8:BI9"/>
    <mergeCell ref="AZ8:AZ9"/>
    <mergeCell ref="BA8:BA9"/>
    <mergeCell ref="BB8:BB9"/>
    <mergeCell ref="BC8:BC9"/>
    <mergeCell ref="BD8:BD9"/>
    <mergeCell ref="AU8:AU9"/>
    <mergeCell ref="AV8:AV9"/>
    <mergeCell ref="AW8:AW9"/>
    <mergeCell ref="AX8:AX9"/>
    <mergeCell ref="AY8:AY9"/>
    <mergeCell ref="AP8:AP9"/>
    <mergeCell ref="AQ8:AQ9"/>
    <mergeCell ref="AR8:AR9"/>
    <mergeCell ref="AS8:AS9"/>
    <mergeCell ref="AT8:AT9"/>
    <mergeCell ref="AK8:AK9"/>
    <mergeCell ref="AL8:AL9"/>
    <mergeCell ref="AM8:AM9"/>
    <mergeCell ref="AN8:AN9"/>
    <mergeCell ref="AO8:AO9"/>
    <mergeCell ref="AF8:AF9"/>
    <mergeCell ref="AG8:AG9"/>
    <mergeCell ref="AH8:AH9"/>
    <mergeCell ref="AI8:AI9"/>
    <mergeCell ref="AJ8:AJ9"/>
    <mergeCell ref="AA8:AA9"/>
    <mergeCell ref="AB8:AB9"/>
    <mergeCell ref="AC8:AC9"/>
    <mergeCell ref="AD8:AD9"/>
    <mergeCell ref="AE8:AE9"/>
    <mergeCell ref="V8:V9"/>
    <mergeCell ref="W8:W9"/>
    <mergeCell ref="X8:X9"/>
    <mergeCell ref="Y8:Y9"/>
    <mergeCell ref="Z8:Z9"/>
    <mergeCell ref="R8:R9"/>
    <mergeCell ref="S8:S9"/>
    <mergeCell ref="T8:T9"/>
    <mergeCell ref="U8:U9"/>
    <mergeCell ref="L8:L9"/>
    <mergeCell ref="M8:M9"/>
    <mergeCell ref="N8:N9"/>
    <mergeCell ref="O8:O9"/>
    <mergeCell ref="P8:P9"/>
    <mergeCell ref="G8:G9"/>
    <mergeCell ref="H8:H9"/>
    <mergeCell ref="I8:I9"/>
    <mergeCell ref="J8:J9"/>
    <mergeCell ref="K8:K9"/>
    <mergeCell ref="B8:B9"/>
    <mergeCell ref="C8:C9"/>
    <mergeCell ref="D8:D9"/>
    <mergeCell ref="E8:E9"/>
    <mergeCell ref="F8:F9"/>
    <mergeCell ref="DO7:DQ7"/>
    <mergeCell ref="DL7:DN7"/>
    <mergeCell ref="DI7:DK7"/>
    <mergeCell ref="Q8:Q9"/>
    <mergeCell ref="B7:D7"/>
    <mergeCell ref="N7:P7"/>
    <mergeCell ref="K7:M7"/>
    <mergeCell ref="H7:J7"/>
    <mergeCell ref="DF7:DH7"/>
    <mergeCell ref="BP7:BR7"/>
    <mergeCell ref="BJ7:BL7"/>
    <mergeCell ref="BY7:CA7"/>
    <mergeCell ref="CE7:CG7"/>
    <mergeCell ref="E7:G7"/>
    <mergeCell ref="AF7:AH7"/>
    <mergeCell ref="BG7:BI7"/>
    <mergeCell ref="AX7:AZ7"/>
    <mergeCell ref="AO7:AQ7"/>
    <mergeCell ref="CZ7:DB7"/>
    <mergeCell ref="CH7:CJ7"/>
    <mergeCell ref="DC7:DE7"/>
    <mergeCell ref="CW7:CY7"/>
    <mergeCell ref="BS7:BU7"/>
    <mergeCell ref="CT7:CV7"/>
    <mergeCell ref="CQ7:CS7"/>
    <mergeCell ref="CN7:CP7"/>
    <mergeCell ref="W7:Y7"/>
    <mergeCell ref="Q7:S7"/>
    <mergeCell ref="BM7:BO7"/>
    <mergeCell ref="BD7:BF7"/>
    <mergeCell ref="BA7:BC7"/>
    <mergeCell ref="AI7:AK7"/>
    <mergeCell ref="T7:V7"/>
    <mergeCell ref="AC7:AE7"/>
    <mergeCell ref="AR7:AT7"/>
    <mergeCell ref="CB7:CD7"/>
    <mergeCell ref="CK7:CM7"/>
    <mergeCell ref="BV7:BX7"/>
    <mergeCell ref="Z7:AB7"/>
    <mergeCell ref="AU7:AW7"/>
    <mergeCell ref="AL7:AN7"/>
  </mergeCells>
  <hyperlinks>
    <hyperlink ref="EC6" location="Índex!E9" display="Índex"/>
  </hyperlinks>
  <printOptions horizontalCentered="1"/>
  <pageMargins left="0" right="0" top="0.39370078740157483" bottom="0" header="0" footer="0"/>
  <pageSetup paperSize="9" scale="61" fitToHeight="0" orientation="landscape" r:id="rId4"/>
  <headerFooter alignWithMargins="0">
    <oddHeader>&amp;R&amp;P/&amp;N</oddHeader>
  </headerFooter>
  <colBreaks count="10" manualBreakCount="10">
    <brk id="13" max="50" man="1"/>
    <brk id="25" max="50" man="1"/>
    <brk id="37" max="50" man="1"/>
    <brk id="49" max="50" man="1"/>
    <brk id="61" max="50" man="1"/>
    <brk id="73" max="50" man="1"/>
    <brk id="85" max="50" man="1"/>
    <brk id="97" max="50" man="1"/>
    <brk id="109" max="50" man="1"/>
    <brk id="121" max="50" man="1"/>
  </colBreaks>
  <drawing r:id="rId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4"/>
  <dimension ref="A1:DQ64"/>
  <sheetViews>
    <sheetView showGridLines="0" zoomScaleNormal="100" workbookViewId="0">
      <pane xSplit="1" ySplit="9" topLeftCell="AK10" activePane="bottomRight" state="frozen"/>
      <selection activeCell="E9" sqref="E9"/>
      <selection pane="topRight" activeCell="E9" sqref="E9"/>
      <selection pane="bottomLeft" activeCell="E9" sqref="E9"/>
      <selection pane="bottomRight" activeCell="AS6" sqref="AS6"/>
    </sheetView>
  </sheetViews>
  <sheetFormatPr defaultColWidth="12.5703125" defaultRowHeight="12.75" x14ac:dyDescent="0.2"/>
  <cols>
    <col min="1" max="1" width="40" style="448" bestFit="1" customWidth="1"/>
    <col min="2" max="37" width="10.7109375" style="26" customWidth="1"/>
    <col min="38" max="45" width="10.7109375" style="17" customWidth="1"/>
    <col min="46" max="16384" width="12.5703125" style="17"/>
  </cols>
  <sheetData>
    <row r="1" spans="1:121" s="82" customFormat="1" ht="15" customHeight="1" x14ac:dyDescent="0.2">
      <c r="A1" s="436"/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0"/>
      <c r="O1" s="80"/>
      <c r="P1" s="80"/>
      <c r="Q1" s="81"/>
      <c r="R1" s="81"/>
      <c r="S1" s="81"/>
      <c r="T1" s="81"/>
      <c r="U1" s="81"/>
      <c r="V1" s="81"/>
      <c r="W1" s="81"/>
      <c r="X1" s="81"/>
      <c r="Y1" s="81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  <c r="AK1" s="80"/>
      <c r="AL1" s="80"/>
      <c r="AM1" s="80"/>
      <c r="AN1" s="80"/>
      <c r="AO1" s="80"/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  <c r="BM1" s="80"/>
      <c r="BN1" s="80"/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  <c r="CA1" s="80"/>
      <c r="CB1" s="80"/>
      <c r="CC1" s="80"/>
      <c r="CD1" s="80"/>
      <c r="CE1" s="80"/>
      <c r="CF1" s="80"/>
      <c r="CG1" s="80"/>
      <c r="CH1" s="80"/>
      <c r="CI1" s="80"/>
      <c r="CJ1" s="80"/>
      <c r="CK1" s="80"/>
      <c r="CL1" s="80"/>
      <c r="CM1" s="80"/>
      <c r="CN1" s="80"/>
      <c r="CO1" s="80"/>
      <c r="CP1" s="80"/>
      <c r="CQ1" s="80"/>
      <c r="CR1" s="80"/>
      <c r="CS1" s="80"/>
      <c r="CT1" s="80"/>
      <c r="CU1" s="80"/>
      <c r="CV1" s="80"/>
      <c r="CW1" s="80"/>
      <c r="CX1" s="80"/>
      <c r="CY1" s="80"/>
      <c r="CZ1" s="80"/>
      <c r="DA1" s="80"/>
      <c r="DB1" s="80"/>
      <c r="DC1" s="80"/>
      <c r="DD1" s="80"/>
      <c r="DE1" s="80"/>
      <c r="DF1" s="80"/>
      <c r="DG1" s="80"/>
      <c r="DH1" s="80"/>
      <c r="DI1" s="80"/>
      <c r="DJ1" s="80"/>
      <c r="DK1" s="80"/>
    </row>
    <row r="2" spans="1:121" s="82" customFormat="1" ht="15" customHeight="1" x14ac:dyDescent="0.2">
      <c r="A2" s="437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3"/>
      <c r="AD2" s="81"/>
      <c r="AE2" s="81"/>
      <c r="AF2" s="83"/>
      <c r="AG2" s="81"/>
      <c r="AH2" s="81"/>
      <c r="AI2" s="81"/>
      <c r="AJ2" s="81"/>
      <c r="AK2" s="81"/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81"/>
      <c r="AY2" s="81"/>
      <c r="AZ2" s="81"/>
      <c r="BA2" s="81"/>
      <c r="BB2" s="81"/>
      <c r="BC2" s="81"/>
      <c r="BD2" s="81"/>
      <c r="BE2" s="81"/>
      <c r="BF2" s="81"/>
      <c r="BG2" s="81"/>
      <c r="BH2" s="81"/>
      <c r="BI2" s="81"/>
      <c r="BJ2" s="81"/>
      <c r="BK2" s="81"/>
      <c r="BL2" s="81"/>
      <c r="BM2" s="81"/>
      <c r="BN2" s="81"/>
      <c r="BO2" s="81"/>
      <c r="BP2" s="81"/>
      <c r="BQ2" s="81"/>
      <c r="BR2" s="81"/>
      <c r="BS2" s="81"/>
      <c r="BT2" s="81"/>
      <c r="BU2" s="81"/>
      <c r="BV2" s="81"/>
      <c r="BW2" s="81"/>
      <c r="BX2" s="81"/>
      <c r="BY2" s="81"/>
      <c r="BZ2" s="81"/>
      <c r="CA2" s="81"/>
      <c r="CB2" s="81"/>
      <c r="CC2" s="81"/>
      <c r="CD2" s="81"/>
      <c r="CE2" s="81"/>
      <c r="CF2" s="81"/>
      <c r="CG2" s="81"/>
      <c r="CH2" s="81"/>
      <c r="CI2" s="81"/>
      <c r="CJ2" s="81"/>
      <c r="CK2" s="81"/>
      <c r="CL2" s="81"/>
      <c r="CM2" s="81"/>
      <c r="CN2" s="81"/>
      <c r="CO2" s="81"/>
      <c r="CP2" s="81"/>
      <c r="CQ2" s="81"/>
      <c r="CR2" s="81"/>
      <c r="CS2" s="81"/>
      <c r="CT2" s="81"/>
      <c r="CU2" s="81"/>
      <c r="CV2" s="81"/>
      <c r="CW2" s="81"/>
      <c r="CX2" s="81"/>
      <c r="CY2" s="81"/>
      <c r="CZ2" s="81"/>
      <c r="DA2" s="81"/>
      <c r="DB2" s="81"/>
      <c r="DC2" s="81"/>
      <c r="DD2" s="81"/>
      <c r="DE2" s="81"/>
      <c r="DF2" s="81"/>
      <c r="DG2" s="81"/>
      <c r="DH2" s="81"/>
      <c r="DI2" s="81"/>
      <c r="DJ2" s="81"/>
      <c r="DK2" s="81"/>
    </row>
    <row r="3" spans="1:121" s="82" customFormat="1" ht="15" customHeight="1" x14ac:dyDescent="0.2">
      <c r="A3" s="438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  <c r="AG3" s="84"/>
      <c r="AH3" s="84"/>
      <c r="AI3" s="84"/>
      <c r="AJ3" s="84"/>
      <c r="AK3" s="84"/>
      <c r="AL3" s="84"/>
      <c r="AM3" s="84"/>
      <c r="AN3" s="84"/>
      <c r="AO3" s="84"/>
      <c r="AP3" s="84"/>
      <c r="AQ3" s="84"/>
      <c r="AR3" s="84"/>
      <c r="AS3" s="84"/>
      <c r="AT3" s="84"/>
      <c r="AU3" s="84"/>
      <c r="AV3" s="84"/>
      <c r="AW3" s="84"/>
      <c r="AX3" s="84"/>
      <c r="AY3" s="84"/>
      <c r="AZ3" s="84"/>
      <c r="BA3" s="84"/>
      <c r="BB3" s="84"/>
      <c r="BC3" s="84"/>
      <c r="BD3" s="84"/>
      <c r="BE3" s="84"/>
      <c r="BF3" s="84"/>
      <c r="BG3" s="84"/>
      <c r="BH3" s="84"/>
      <c r="BI3" s="84"/>
      <c r="BJ3" s="84"/>
      <c r="BK3" s="84"/>
      <c r="BL3" s="84"/>
      <c r="BM3" s="84"/>
      <c r="BN3" s="84"/>
      <c r="BO3" s="84"/>
      <c r="BP3" s="84"/>
      <c r="BQ3" s="84"/>
      <c r="BR3" s="84"/>
      <c r="BS3" s="84"/>
      <c r="BT3" s="84"/>
      <c r="BU3" s="84"/>
      <c r="BV3" s="84"/>
      <c r="BW3" s="84"/>
      <c r="BX3" s="84"/>
      <c r="BY3" s="84"/>
      <c r="BZ3" s="84"/>
      <c r="CA3" s="84"/>
      <c r="CB3" s="84"/>
      <c r="CC3" s="84"/>
      <c r="CD3" s="84"/>
      <c r="CE3" s="84"/>
      <c r="CF3" s="84"/>
      <c r="CG3" s="84"/>
      <c r="CH3" s="84"/>
      <c r="CI3" s="84"/>
      <c r="CJ3" s="84"/>
      <c r="CK3" s="84"/>
      <c r="CL3" s="84"/>
      <c r="CM3" s="84"/>
      <c r="CN3" s="84"/>
      <c r="CO3" s="84"/>
      <c r="CP3" s="84"/>
      <c r="CQ3" s="84"/>
      <c r="CR3" s="84"/>
      <c r="CS3" s="84"/>
      <c r="CT3" s="84"/>
      <c r="CU3" s="84"/>
      <c r="CV3" s="84"/>
      <c r="CW3" s="84"/>
      <c r="CX3" s="84"/>
      <c r="CY3" s="84"/>
      <c r="CZ3" s="84"/>
      <c r="DA3" s="84"/>
      <c r="DB3" s="84"/>
      <c r="DC3" s="84"/>
      <c r="DD3" s="84"/>
      <c r="DE3" s="84"/>
      <c r="DF3" s="84"/>
      <c r="DG3" s="84"/>
      <c r="DH3" s="84"/>
      <c r="DI3" s="84"/>
      <c r="DJ3" s="84"/>
      <c r="DK3" s="84"/>
    </row>
    <row r="4" spans="1:121" s="82" customFormat="1" ht="15" customHeight="1" x14ac:dyDescent="0.25">
      <c r="A4" s="439" t="s">
        <v>1</v>
      </c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5"/>
      <c r="O4" s="85"/>
      <c r="P4" s="85"/>
      <c r="Q4" s="86"/>
      <c r="R4" s="86"/>
      <c r="S4" s="86"/>
      <c r="T4" s="86"/>
      <c r="U4" s="86"/>
      <c r="V4" s="86"/>
      <c r="W4" s="86"/>
      <c r="X4" s="86"/>
      <c r="Y4" s="86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  <c r="BM4" s="85"/>
      <c r="BN4" s="85"/>
      <c r="BO4" s="85"/>
      <c r="BP4" s="85"/>
      <c r="BQ4" s="85"/>
      <c r="BR4" s="85"/>
      <c r="BS4" s="85"/>
      <c r="BT4" s="85"/>
      <c r="BU4" s="85"/>
      <c r="BV4" s="85"/>
      <c r="BW4" s="85"/>
      <c r="BX4" s="85"/>
      <c r="BY4" s="85"/>
      <c r="BZ4" s="85"/>
      <c r="CA4" s="85"/>
      <c r="CB4" s="85"/>
      <c r="CC4" s="85"/>
      <c r="CD4" s="85"/>
      <c r="CE4" s="85"/>
      <c r="CF4" s="85"/>
      <c r="CG4" s="85"/>
      <c r="CH4" s="85"/>
      <c r="CI4" s="85"/>
      <c r="CJ4" s="85"/>
      <c r="CK4" s="85"/>
      <c r="CL4" s="85"/>
      <c r="CM4" s="85"/>
      <c r="CN4" s="85"/>
      <c r="CO4" s="85"/>
      <c r="CP4" s="85"/>
      <c r="CQ4" s="85"/>
      <c r="CR4" s="85"/>
      <c r="CS4" s="85"/>
      <c r="CU4" s="85"/>
      <c r="CV4" s="85"/>
      <c r="CW4" s="114"/>
      <c r="CX4" s="85"/>
      <c r="CY4" s="85"/>
      <c r="CZ4" s="114"/>
      <c r="DA4" s="85"/>
      <c r="DB4" s="85"/>
      <c r="DD4" s="85"/>
      <c r="DE4" s="85"/>
      <c r="DG4" s="85"/>
      <c r="DH4" s="130"/>
      <c r="DJ4" s="85"/>
      <c r="DN4" s="130"/>
    </row>
    <row r="5" spans="1:121" s="178" customFormat="1" ht="17.100000000000001" customHeight="1" thickBot="1" x14ac:dyDescent="0.25">
      <c r="A5" s="190" t="s">
        <v>89</v>
      </c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180"/>
      <c r="Q5" s="180"/>
      <c r="R5" s="180"/>
      <c r="S5" s="180"/>
      <c r="T5" s="180"/>
      <c r="U5" s="180"/>
      <c r="V5" s="180"/>
      <c r="W5" s="180"/>
      <c r="X5" s="180"/>
      <c r="Y5" s="180"/>
      <c r="Z5" s="180"/>
      <c r="AA5" s="180"/>
      <c r="AB5" s="180"/>
      <c r="AC5" s="180"/>
      <c r="AD5" s="180"/>
      <c r="AE5" s="180"/>
      <c r="AF5" s="180"/>
      <c r="AG5" s="180"/>
      <c r="AH5" s="180"/>
      <c r="AI5" s="180"/>
      <c r="AJ5" s="180"/>
      <c r="AK5" s="180"/>
      <c r="AL5" s="181"/>
      <c r="AM5" s="181"/>
      <c r="AN5" s="181"/>
      <c r="AO5" s="181"/>
      <c r="AP5" s="181"/>
      <c r="AQ5" s="181"/>
      <c r="AR5" s="181"/>
      <c r="AS5" s="181"/>
    </row>
    <row r="6" spans="1:121" ht="16.5" customHeight="1" thickTop="1" x14ac:dyDescent="0.3">
      <c r="A6" s="444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I6" s="114"/>
      <c r="AJ6" s="114"/>
      <c r="AK6" s="112"/>
      <c r="AL6" s="130"/>
      <c r="AO6" s="379"/>
      <c r="AP6" s="400"/>
      <c r="AQ6" s="400"/>
      <c r="AR6" s="400"/>
      <c r="AS6" s="400" t="s">
        <v>662</v>
      </c>
    </row>
    <row r="7" spans="1:121" s="183" customFormat="1" ht="15" customHeight="1" x14ac:dyDescent="0.2">
      <c r="A7" s="182"/>
      <c r="B7" s="156" t="s">
        <v>35</v>
      </c>
      <c r="C7" s="156" t="s">
        <v>36</v>
      </c>
      <c r="D7" s="156" t="s">
        <v>321</v>
      </c>
      <c r="E7" s="156" t="s">
        <v>331</v>
      </c>
      <c r="F7" s="156" t="s">
        <v>37</v>
      </c>
      <c r="G7" s="156" t="s">
        <v>38</v>
      </c>
      <c r="H7" s="156" t="s">
        <v>322</v>
      </c>
      <c r="I7" s="156" t="s">
        <v>332</v>
      </c>
      <c r="J7" s="156" t="s">
        <v>39</v>
      </c>
      <c r="K7" s="156" t="s">
        <v>40</v>
      </c>
      <c r="L7" s="156" t="s">
        <v>323</v>
      </c>
      <c r="M7" s="156" t="s">
        <v>333</v>
      </c>
      <c r="N7" s="156" t="s">
        <v>41</v>
      </c>
      <c r="O7" s="156" t="s">
        <v>42</v>
      </c>
      <c r="P7" s="156" t="s">
        <v>324</v>
      </c>
      <c r="Q7" s="156" t="s">
        <v>334</v>
      </c>
      <c r="R7" s="156" t="s">
        <v>43</v>
      </c>
      <c r="S7" s="156" t="s">
        <v>44</v>
      </c>
      <c r="T7" s="156" t="s">
        <v>325</v>
      </c>
      <c r="U7" s="156" t="s">
        <v>335</v>
      </c>
      <c r="V7" s="156" t="s">
        <v>45</v>
      </c>
      <c r="W7" s="156" t="s">
        <v>46</v>
      </c>
      <c r="X7" s="156" t="s">
        <v>326</v>
      </c>
      <c r="Y7" s="156" t="s">
        <v>336</v>
      </c>
      <c r="Z7" s="156" t="s">
        <v>47</v>
      </c>
      <c r="AA7" s="156" t="s">
        <v>48</v>
      </c>
      <c r="AB7" s="156" t="s">
        <v>327</v>
      </c>
      <c r="AC7" s="156" t="s">
        <v>337</v>
      </c>
      <c r="AD7" s="156" t="s">
        <v>49</v>
      </c>
      <c r="AE7" s="156" t="s">
        <v>50</v>
      </c>
      <c r="AF7" s="156" t="s">
        <v>328</v>
      </c>
      <c r="AG7" s="156" t="s">
        <v>338</v>
      </c>
      <c r="AH7" s="156" t="s">
        <v>51</v>
      </c>
      <c r="AI7" s="156" t="s">
        <v>52</v>
      </c>
      <c r="AJ7" s="156" t="s">
        <v>329</v>
      </c>
      <c r="AK7" s="156" t="s">
        <v>339</v>
      </c>
      <c r="AL7" s="156" t="s">
        <v>53</v>
      </c>
      <c r="AM7" s="156" t="s">
        <v>54</v>
      </c>
      <c r="AN7" s="156" t="s">
        <v>330</v>
      </c>
      <c r="AO7" s="195" t="s">
        <v>340</v>
      </c>
      <c r="AP7" s="416" t="s">
        <v>71</v>
      </c>
      <c r="AQ7" s="591" t="s">
        <v>374</v>
      </c>
      <c r="AR7" s="664" t="s">
        <v>376</v>
      </c>
      <c r="AS7" s="664" t="s">
        <v>399</v>
      </c>
    </row>
    <row r="8" spans="1:121" s="149" customFormat="1" ht="9.9499999999999993" customHeight="1" x14ac:dyDescent="0.2">
      <c r="A8" s="184"/>
      <c r="B8" s="158"/>
      <c r="C8" s="158"/>
      <c r="D8" s="158"/>
      <c r="E8" s="158"/>
      <c r="F8" s="158"/>
      <c r="G8" s="158"/>
      <c r="H8" s="158"/>
      <c r="I8" s="158"/>
      <c r="J8" s="158"/>
      <c r="K8" s="158"/>
      <c r="L8" s="158"/>
      <c r="M8" s="158"/>
      <c r="N8" s="158"/>
      <c r="O8" s="158"/>
      <c r="P8" s="158"/>
      <c r="Q8" s="158"/>
      <c r="R8" s="158"/>
      <c r="S8" s="158"/>
      <c r="T8" s="158"/>
      <c r="U8" s="158"/>
      <c r="V8" s="158"/>
      <c r="W8" s="158"/>
      <c r="X8" s="158"/>
      <c r="Y8" s="158"/>
      <c r="Z8" s="158"/>
      <c r="AA8" s="158"/>
      <c r="AB8" s="158"/>
      <c r="AC8" s="158"/>
      <c r="AD8" s="158"/>
      <c r="AE8" s="158"/>
      <c r="AF8" s="158"/>
      <c r="AG8" s="158"/>
      <c r="AH8" s="158"/>
      <c r="AI8" s="158"/>
      <c r="AJ8" s="158"/>
      <c r="AK8" s="158"/>
      <c r="AL8" s="158"/>
      <c r="AM8" s="158"/>
      <c r="AN8" s="158"/>
      <c r="AO8" s="158"/>
      <c r="AP8" s="158"/>
      <c r="AQ8" s="158"/>
      <c r="AR8" s="158"/>
      <c r="AS8" s="158"/>
    </row>
    <row r="9" spans="1:121" s="164" customFormat="1" ht="5.0999999999999996" customHeight="1" x14ac:dyDescent="0.2">
      <c r="A9" s="159"/>
      <c r="B9" s="159"/>
      <c r="C9" s="159"/>
      <c r="D9" s="159"/>
      <c r="E9" s="159"/>
      <c r="F9" s="159"/>
      <c r="G9" s="159"/>
      <c r="H9" s="159"/>
      <c r="I9" s="159"/>
      <c r="J9" s="159"/>
      <c r="K9" s="159"/>
      <c r="L9" s="159"/>
      <c r="M9" s="159"/>
      <c r="N9" s="159"/>
      <c r="O9" s="159"/>
      <c r="P9" s="159"/>
      <c r="Q9" s="159"/>
      <c r="R9" s="159"/>
      <c r="S9" s="159"/>
      <c r="T9" s="159"/>
      <c r="U9" s="159"/>
      <c r="V9" s="159"/>
      <c r="W9" s="159"/>
      <c r="X9" s="159"/>
      <c r="Y9" s="159"/>
      <c r="Z9" s="159"/>
      <c r="AA9" s="159"/>
      <c r="AB9" s="159"/>
      <c r="AC9" s="159"/>
      <c r="AD9" s="159"/>
      <c r="AE9" s="159"/>
      <c r="AF9" s="159"/>
      <c r="AG9" s="159"/>
      <c r="AH9" s="159"/>
      <c r="AI9" s="159"/>
      <c r="AJ9" s="159"/>
      <c r="AK9" s="159"/>
      <c r="AL9" s="159"/>
      <c r="AM9" s="159"/>
      <c r="AN9" s="159"/>
      <c r="AO9" s="159"/>
      <c r="AP9" s="159"/>
      <c r="AQ9" s="159"/>
      <c r="AR9" s="159"/>
      <c r="AS9" s="159"/>
    </row>
    <row r="10" spans="1:121" s="164" customFormat="1" ht="15" customHeight="1" x14ac:dyDescent="0.2">
      <c r="A10" s="434" t="s">
        <v>619</v>
      </c>
      <c r="B10" s="165">
        <v>56119</v>
      </c>
      <c r="C10" s="165">
        <v>57023</v>
      </c>
      <c r="D10" s="165">
        <v>61030</v>
      </c>
      <c r="E10" s="165">
        <v>66920</v>
      </c>
      <c r="F10" s="165">
        <v>57553</v>
      </c>
      <c r="G10" s="165">
        <v>66605</v>
      </c>
      <c r="H10" s="170">
        <v>74057</v>
      </c>
      <c r="I10" s="170">
        <v>78020</v>
      </c>
      <c r="J10" s="170">
        <v>73791</v>
      </c>
      <c r="K10" s="170">
        <v>76124</v>
      </c>
      <c r="L10" s="170">
        <v>74903</v>
      </c>
      <c r="M10" s="170">
        <v>69354</v>
      </c>
      <c r="N10" s="170">
        <v>74321</v>
      </c>
      <c r="O10" s="170">
        <v>68985</v>
      </c>
      <c r="P10" s="170">
        <v>88969</v>
      </c>
      <c r="Q10" s="170">
        <v>106186</v>
      </c>
      <c r="R10" s="170">
        <v>93468</v>
      </c>
      <c r="S10" s="170">
        <v>102670</v>
      </c>
      <c r="T10" s="170">
        <v>128802</v>
      </c>
      <c r="U10" s="170">
        <v>169037</v>
      </c>
      <c r="V10" s="170">
        <v>146057</v>
      </c>
      <c r="W10" s="170">
        <v>158006</v>
      </c>
      <c r="X10" s="170">
        <v>142455</v>
      </c>
      <c r="Y10" s="170">
        <v>128202</v>
      </c>
      <c r="Z10" s="170">
        <v>104512</v>
      </c>
      <c r="AA10" s="170">
        <v>105600</v>
      </c>
      <c r="AB10" s="170">
        <v>113899.4</v>
      </c>
      <c r="AC10" s="170">
        <v>102346</v>
      </c>
      <c r="AD10" s="170">
        <v>106401</v>
      </c>
      <c r="AE10" s="170">
        <v>101168.23</v>
      </c>
      <c r="AF10" s="170">
        <v>91515.6</v>
      </c>
      <c r="AG10" s="170">
        <v>75104</v>
      </c>
      <c r="AH10" s="170">
        <v>103738</v>
      </c>
      <c r="AI10" s="170">
        <v>108032.79</v>
      </c>
      <c r="AJ10" s="170">
        <v>134355</v>
      </c>
      <c r="AK10" s="170">
        <v>142389.60999999999</v>
      </c>
      <c r="AL10" s="170">
        <v>154976</v>
      </c>
      <c r="AM10" s="170">
        <v>167740</v>
      </c>
      <c r="AN10" s="170">
        <v>199245</v>
      </c>
      <c r="AO10" s="170">
        <v>209076</v>
      </c>
      <c r="AP10" s="170">
        <v>219375</v>
      </c>
      <c r="AQ10" s="170">
        <v>221377</v>
      </c>
      <c r="AR10" s="170">
        <v>222539</v>
      </c>
      <c r="AS10" s="374">
        <v>240600</v>
      </c>
      <c r="AT10" s="170"/>
      <c r="AU10" s="170"/>
      <c r="AV10" s="170"/>
      <c r="AW10" s="170"/>
      <c r="AX10" s="170"/>
      <c r="AY10" s="170"/>
      <c r="AZ10" s="170"/>
      <c r="BA10" s="170"/>
      <c r="BB10" s="170"/>
      <c r="BC10" s="170"/>
      <c r="BD10" s="170"/>
      <c r="BE10" s="170"/>
      <c r="BF10" s="170"/>
      <c r="BG10" s="170"/>
      <c r="BH10" s="170"/>
      <c r="BI10" s="170"/>
      <c r="BJ10" s="170"/>
      <c r="BK10" s="170"/>
      <c r="BL10" s="170"/>
      <c r="BM10" s="170"/>
      <c r="BN10" s="170"/>
      <c r="BO10" s="170"/>
      <c r="BP10" s="170"/>
      <c r="BQ10" s="170"/>
      <c r="BR10" s="170"/>
      <c r="BS10" s="170"/>
      <c r="BT10" s="170"/>
      <c r="BU10" s="170"/>
      <c r="BV10" s="170"/>
      <c r="BW10" s="170"/>
      <c r="BX10" s="170"/>
      <c r="BY10" s="170"/>
      <c r="BZ10" s="170"/>
      <c r="CA10" s="170"/>
      <c r="CB10" s="170"/>
      <c r="CC10" s="170"/>
      <c r="CD10" s="170"/>
      <c r="CE10" s="170"/>
      <c r="CF10" s="170"/>
      <c r="CG10" s="170"/>
      <c r="CH10" s="170"/>
      <c r="CI10" s="170"/>
      <c r="CJ10" s="170"/>
      <c r="CK10" s="170"/>
      <c r="CL10" s="170"/>
      <c r="CM10" s="170"/>
      <c r="CN10" s="170"/>
      <c r="CO10" s="170"/>
      <c r="CP10" s="170"/>
      <c r="CQ10" s="170"/>
      <c r="CR10" s="170"/>
      <c r="CS10" s="170"/>
      <c r="CT10" s="170"/>
      <c r="CU10" s="170"/>
      <c r="CV10" s="170"/>
      <c r="CW10" s="170"/>
      <c r="CX10" s="170"/>
      <c r="CY10" s="170"/>
      <c r="CZ10" s="170"/>
      <c r="DA10" s="170"/>
      <c r="DB10" s="170"/>
      <c r="DC10" s="170"/>
      <c r="DD10" s="170"/>
      <c r="DE10" s="170"/>
      <c r="DF10" s="170"/>
      <c r="DG10" s="170"/>
      <c r="DH10" s="170"/>
      <c r="DI10" s="170"/>
      <c r="DJ10" s="170"/>
      <c r="DK10" s="170"/>
      <c r="DL10" s="170"/>
      <c r="DM10" s="170"/>
      <c r="DN10" s="170"/>
      <c r="DO10" s="170"/>
      <c r="DP10" s="170"/>
      <c r="DQ10" s="417"/>
    </row>
    <row r="11" spans="1:121" s="164" customFormat="1" ht="15" customHeight="1" x14ac:dyDescent="0.2">
      <c r="A11" s="434" t="s">
        <v>620</v>
      </c>
      <c r="B11" s="165">
        <v>26623</v>
      </c>
      <c r="C11" s="165">
        <v>21045</v>
      </c>
      <c r="D11" s="165">
        <v>20285</v>
      </c>
      <c r="E11" s="165">
        <v>22987</v>
      </c>
      <c r="F11" s="165">
        <v>20444</v>
      </c>
      <c r="G11" s="165">
        <v>12981</v>
      </c>
      <c r="H11" s="166">
        <v>16730</v>
      </c>
      <c r="I11" s="166">
        <v>10796</v>
      </c>
      <c r="J11" s="166">
        <v>11822</v>
      </c>
      <c r="K11" s="166">
        <v>19899</v>
      </c>
      <c r="L11" s="166">
        <v>21369</v>
      </c>
      <c r="M11" s="166">
        <v>22084</v>
      </c>
      <c r="N11" s="166">
        <f>26194-1</f>
        <v>26193</v>
      </c>
      <c r="O11" s="166">
        <v>28732</v>
      </c>
      <c r="P11" s="166">
        <v>42082</v>
      </c>
      <c r="Q11" s="166">
        <v>45379</v>
      </c>
      <c r="R11" s="166">
        <v>49838</v>
      </c>
      <c r="S11" s="166">
        <v>51892</v>
      </c>
      <c r="T11" s="166">
        <v>36670</v>
      </c>
      <c r="U11" s="166">
        <v>20663</v>
      </c>
      <c r="V11" s="166">
        <v>73585</v>
      </c>
      <c r="W11" s="166">
        <v>114879</v>
      </c>
      <c r="X11" s="166">
        <v>92881</v>
      </c>
      <c r="Y11" s="166">
        <v>104394</v>
      </c>
      <c r="Z11" s="166">
        <v>119715</v>
      </c>
      <c r="AA11" s="166">
        <v>129898</v>
      </c>
      <c r="AB11" s="166">
        <v>116698.75</v>
      </c>
      <c r="AC11" s="166">
        <v>114937</v>
      </c>
      <c r="AD11" s="166">
        <v>121095</v>
      </c>
      <c r="AE11" s="166">
        <v>127763.38</v>
      </c>
      <c r="AF11" s="166">
        <v>126923.06</v>
      </c>
      <c r="AG11" s="166">
        <v>135382</v>
      </c>
      <c r="AH11" s="166">
        <v>139928</v>
      </c>
      <c r="AI11" s="166">
        <v>126322.79</v>
      </c>
      <c r="AJ11" s="166">
        <v>127976</v>
      </c>
      <c r="AK11" s="166">
        <v>150646.18</v>
      </c>
      <c r="AL11" s="166">
        <v>131864</v>
      </c>
      <c r="AM11" s="166">
        <v>149090</v>
      </c>
      <c r="AN11" s="166">
        <v>176324</v>
      </c>
      <c r="AO11" s="166">
        <v>177538.02</v>
      </c>
      <c r="AP11" s="166">
        <v>177093</v>
      </c>
      <c r="AQ11" s="166">
        <v>186572</v>
      </c>
      <c r="AR11" s="166">
        <v>211520</v>
      </c>
      <c r="AS11" s="374">
        <v>218514</v>
      </c>
      <c r="AT11" s="166"/>
      <c r="AU11" s="166"/>
      <c r="AV11" s="166"/>
      <c r="AW11" s="166"/>
      <c r="AX11" s="166"/>
      <c r="AY11" s="166"/>
      <c r="AZ11" s="166"/>
      <c r="BA11" s="166"/>
      <c r="BB11" s="166"/>
      <c r="BC11" s="166"/>
      <c r="BD11" s="166"/>
      <c r="BE11" s="166"/>
      <c r="BF11" s="166"/>
      <c r="BG11" s="166"/>
      <c r="BH11" s="166"/>
      <c r="BI11" s="166"/>
      <c r="BJ11" s="166"/>
      <c r="BK11" s="166"/>
      <c r="BL11" s="166"/>
      <c r="BM11" s="166"/>
      <c r="BN11" s="166"/>
      <c r="BO11" s="166"/>
      <c r="BP11" s="166"/>
      <c r="BQ11" s="166"/>
      <c r="BR11" s="166"/>
      <c r="BS11" s="166"/>
      <c r="BT11" s="166"/>
      <c r="BU11" s="166"/>
      <c r="BV11" s="166"/>
      <c r="BW11" s="166"/>
      <c r="BX11" s="166"/>
      <c r="BY11" s="166"/>
      <c r="BZ11" s="166"/>
      <c r="CA11" s="166"/>
      <c r="CB11" s="166"/>
      <c r="CC11" s="166"/>
      <c r="CD11" s="166"/>
      <c r="CE11" s="166"/>
      <c r="CF11" s="166"/>
      <c r="CG11" s="166"/>
      <c r="CH11" s="166"/>
      <c r="CI11" s="166"/>
      <c r="CJ11" s="166"/>
      <c r="CK11" s="166"/>
      <c r="CL11" s="166"/>
      <c r="CM11" s="166"/>
      <c r="CN11" s="166"/>
      <c r="CO11" s="166"/>
      <c r="CP11" s="166"/>
      <c r="CQ11" s="166"/>
      <c r="CR11" s="166"/>
      <c r="CS11" s="166"/>
      <c r="CT11" s="166"/>
      <c r="CU11" s="166"/>
      <c r="CV11" s="166"/>
      <c r="CW11" s="166"/>
      <c r="CX11" s="166"/>
      <c r="CY11" s="166"/>
      <c r="CZ11" s="166"/>
      <c r="DA11" s="166"/>
      <c r="DB11" s="166"/>
      <c r="DC11" s="166"/>
      <c r="DD11" s="166"/>
      <c r="DE11" s="166"/>
      <c r="DF11" s="166"/>
      <c r="DG11" s="166"/>
      <c r="DH11" s="166"/>
      <c r="DI11" s="166"/>
      <c r="DJ11" s="166"/>
      <c r="DK11" s="166"/>
      <c r="DL11" s="166"/>
      <c r="DM11" s="166"/>
      <c r="DN11" s="166"/>
      <c r="DO11" s="166"/>
      <c r="DP11" s="166"/>
      <c r="DQ11" s="167"/>
    </row>
    <row r="12" spans="1:121" s="164" customFormat="1" ht="15" customHeight="1" x14ac:dyDescent="0.2">
      <c r="A12" s="434" t="s">
        <v>621</v>
      </c>
      <c r="B12" s="165">
        <v>3196</v>
      </c>
      <c r="C12" s="165">
        <v>11490</v>
      </c>
      <c r="D12" s="165">
        <v>11997</v>
      </c>
      <c r="E12" s="165">
        <v>13140</v>
      </c>
      <c r="F12" s="165">
        <v>14146</v>
      </c>
      <c r="G12" s="165">
        <v>23375</v>
      </c>
      <c r="H12" s="166">
        <v>23968</v>
      </c>
      <c r="I12" s="166">
        <v>24021</v>
      </c>
      <c r="J12" s="166">
        <v>23954</v>
      </c>
      <c r="K12" s="166">
        <v>24890</v>
      </c>
      <c r="L12" s="166">
        <v>25674</v>
      </c>
      <c r="M12" s="166">
        <v>25938</v>
      </c>
      <c r="N12" s="166">
        <v>27679</v>
      </c>
      <c r="O12" s="166">
        <v>28228</v>
      </c>
      <c r="P12" s="166">
        <v>28648</v>
      </c>
      <c r="Q12" s="166">
        <v>29492</v>
      </c>
      <c r="R12" s="166">
        <v>29957</v>
      </c>
      <c r="S12" s="166">
        <v>30381</v>
      </c>
      <c r="T12" s="166">
        <v>31190</v>
      </c>
      <c r="U12" s="166">
        <v>31801</v>
      </c>
      <c r="V12" s="166">
        <v>31744</v>
      </c>
      <c r="W12" s="166">
        <v>3940</v>
      </c>
      <c r="X12" s="166">
        <v>3939</v>
      </c>
      <c r="Y12" s="166">
        <v>3983</v>
      </c>
      <c r="Z12" s="166">
        <v>4011</v>
      </c>
      <c r="AA12" s="166">
        <v>3793</v>
      </c>
      <c r="AB12" s="166">
        <v>3857.67</v>
      </c>
      <c r="AC12" s="166">
        <v>23075</v>
      </c>
      <c r="AD12" s="166">
        <v>23528</v>
      </c>
      <c r="AE12" s="166">
        <v>23794.080000000002</v>
      </c>
      <c r="AF12" s="166">
        <v>24463.58</v>
      </c>
      <c r="AG12" s="166">
        <v>25071</v>
      </c>
      <c r="AH12" s="166">
        <v>25605</v>
      </c>
      <c r="AI12" s="166">
        <v>38470.699999999997</v>
      </c>
      <c r="AJ12" s="166">
        <v>38918</v>
      </c>
      <c r="AK12" s="166">
        <v>40003.54</v>
      </c>
      <c r="AL12" s="166">
        <v>40744</v>
      </c>
      <c r="AM12" s="166">
        <v>41793</v>
      </c>
      <c r="AN12" s="166">
        <v>42478</v>
      </c>
      <c r="AO12" s="166">
        <v>42982</v>
      </c>
      <c r="AP12" s="166">
        <v>43032</v>
      </c>
      <c r="AQ12" s="166">
        <v>42266</v>
      </c>
      <c r="AR12" s="166">
        <v>38634</v>
      </c>
      <c r="AS12" s="374">
        <v>38986</v>
      </c>
      <c r="AT12" s="166"/>
      <c r="AU12" s="166"/>
      <c r="AV12" s="166"/>
      <c r="AW12" s="166"/>
      <c r="AX12" s="166"/>
      <c r="AY12" s="166"/>
      <c r="AZ12" s="166"/>
      <c r="BA12" s="166"/>
      <c r="BB12" s="166"/>
      <c r="BC12" s="166"/>
      <c r="BD12" s="166"/>
      <c r="BE12" s="166"/>
      <c r="BF12" s="166"/>
      <c r="BG12" s="166"/>
      <c r="BH12" s="166"/>
      <c r="BI12" s="166"/>
      <c r="BJ12" s="166"/>
      <c r="BK12" s="166"/>
      <c r="BL12" s="166"/>
      <c r="BM12" s="166"/>
      <c r="BN12" s="166"/>
      <c r="BO12" s="166"/>
      <c r="BP12" s="166"/>
      <c r="BQ12" s="166"/>
      <c r="BR12" s="166"/>
      <c r="BS12" s="166"/>
      <c r="BT12" s="166"/>
      <c r="BU12" s="166"/>
      <c r="BV12" s="166"/>
      <c r="BW12" s="166"/>
      <c r="BX12" s="166"/>
      <c r="BY12" s="166"/>
      <c r="BZ12" s="166"/>
      <c r="CA12" s="166"/>
      <c r="CB12" s="166"/>
      <c r="CC12" s="166"/>
      <c r="CD12" s="166"/>
      <c r="CE12" s="166"/>
      <c r="CF12" s="166"/>
      <c r="CG12" s="166"/>
      <c r="CH12" s="166"/>
      <c r="CI12" s="166"/>
      <c r="CJ12" s="166"/>
      <c r="CK12" s="166"/>
      <c r="CL12" s="166"/>
      <c r="CM12" s="166"/>
      <c r="CN12" s="166"/>
      <c r="CO12" s="166"/>
      <c r="CP12" s="166"/>
      <c r="CQ12" s="166"/>
      <c r="CR12" s="166"/>
      <c r="CS12" s="166"/>
      <c r="CT12" s="166"/>
      <c r="CU12" s="166"/>
      <c r="CV12" s="166"/>
      <c r="CW12" s="166"/>
      <c r="CX12" s="166"/>
      <c r="CY12" s="166"/>
      <c r="CZ12" s="166"/>
      <c r="DA12" s="166"/>
      <c r="DB12" s="166"/>
      <c r="DC12" s="166"/>
      <c r="DD12" s="166"/>
      <c r="DE12" s="166"/>
      <c r="DF12" s="166"/>
      <c r="DG12" s="166"/>
      <c r="DH12" s="166"/>
      <c r="DI12" s="166"/>
      <c r="DJ12" s="166"/>
      <c r="DK12" s="166"/>
      <c r="DL12" s="166"/>
      <c r="DM12" s="166"/>
      <c r="DN12" s="166"/>
      <c r="DO12" s="166"/>
      <c r="DP12" s="166"/>
      <c r="DQ12" s="167"/>
    </row>
    <row r="13" spans="1:121" s="164" customFormat="1" ht="15" customHeight="1" x14ac:dyDescent="0.2">
      <c r="A13" s="434" t="s">
        <v>613</v>
      </c>
      <c r="B13" s="165">
        <v>1025</v>
      </c>
      <c r="C13" s="165">
        <v>2442</v>
      </c>
      <c r="D13" s="165">
        <v>2679</v>
      </c>
      <c r="E13" s="165">
        <v>1207</v>
      </c>
      <c r="F13" s="165">
        <v>2029</v>
      </c>
      <c r="G13" s="165">
        <v>2073</v>
      </c>
      <c r="H13" s="166">
        <v>1926</v>
      </c>
      <c r="I13" s="166">
        <v>2364</v>
      </c>
      <c r="J13" s="166">
        <v>2282</v>
      </c>
      <c r="K13" s="166">
        <v>3188</v>
      </c>
      <c r="L13" s="166">
        <v>2500</v>
      </c>
      <c r="M13" s="166">
        <v>1359</v>
      </c>
      <c r="N13" s="166">
        <v>3052</v>
      </c>
      <c r="O13" s="166">
        <v>1607</v>
      </c>
      <c r="P13" s="166">
        <v>2364</v>
      </c>
      <c r="Q13" s="166">
        <v>1610</v>
      </c>
      <c r="R13" s="166">
        <v>3256</v>
      </c>
      <c r="S13" s="166">
        <v>2259</v>
      </c>
      <c r="T13" s="166">
        <v>2804</v>
      </c>
      <c r="U13" s="166">
        <v>919</v>
      </c>
      <c r="V13" s="166">
        <v>2265</v>
      </c>
      <c r="W13" s="166">
        <v>3152</v>
      </c>
      <c r="X13" s="166">
        <v>3100</v>
      </c>
      <c r="Y13" s="166">
        <v>3157</v>
      </c>
      <c r="Z13" s="166">
        <v>1544</v>
      </c>
      <c r="AA13" s="166">
        <v>3238</v>
      </c>
      <c r="AB13" s="166">
        <v>3308.36</v>
      </c>
      <c r="AC13" s="166">
        <v>2500</v>
      </c>
      <c r="AD13" s="166">
        <v>4373</v>
      </c>
      <c r="AE13" s="166">
        <v>5733.5</v>
      </c>
      <c r="AF13" s="166">
        <v>5450.41</v>
      </c>
      <c r="AG13" s="166">
        <v>4562</v>
      </c>
      <c r="AH13" s="166">
        <v>6282</v>
      </c>
      <c r="AI13" s="166">
        <v>6261.1</v>
      </c>
      <c r="AJ13" s="166">
        <v>13940</v>
      </c>
      <c r="AK13" s="166">
        <v>13539.96</v>
      </c>
      <c r="AL13" s="166">
        <v>9882</v>
      </c>
      <c r="AM13" s="166">
        <v>17793</v>
      </c>
      <c r="AN13" s="166">
        <v>14527</v>
      </c>
      <c r="AO13" s="166">
        <v>15911</v>
      </c>
      <c r="AP13" s="166">
        <v>16621</v>
      </c>
      <c r="AQ13" s="166">
        <v>13789</v>
      </c>
      <c r="AR13" s="166">
        <v>16009</v>
      </c>
      <c r="AS13" s="374">
        <v>14173</v>
      </c>
      <c r="AT13" s="166"/>
      <c r="AU13" s="166"/>
      <c r="AV13" s="166"/>
      <c r="AW13" s="166"/>
      <c r="AX13" s="166"/>
      <c r="AY13" s="166"/>
      <c r="AZ13" s="166"/>
      <c r="BA13" s="166"/>
      <c r="BB13" s="166"/>
      <c r="BC13" s="166"/>
      <c r="BD13" s="166"/>
      <c r="BE13" s="166"/>
      <c r="BF13" s="166"/>
      <c r="BG13" s="166"/>
      <c r="BH13" s="166"/>
      <c r="BI13" s="166"/>
      <c r="BJ13" s="166"/>
      <c r="BK13" s="166"/>
      <c r="BL13" s="166"/>
      <c r="BM13" s="166"/>
      <c r="BN13" s="166"/>
      <c r="BO13" s="166"/>
      <c r="BP13" s="166"/>
      <c r="BQ13" s="166"/>
      <c r="BR13" s="166"/>
      <c r="BS13" s="166"/>
      <c r="BT13" s="166"/>
      <c r="BU13" s="166"/>
      <c r="BV13" s="166"/>
      <c r="BW13" s="166"/>
      <c r="BX13" s="166"/>
      <c r="BY13" s="166"/>
      <c r="BZ13" s="166"/>
      <c r="CA13" s="166"/>
      <c r="CB13" s="166"/>
      <c r="CC13" s="166"/>
      <c r="CD13" s="166"/>
      <c r="CE13" s="166"/>
      <c r="CF13" s="166"/>
      <c r="CG13" s="166"/>
      <c r="CH13" s="166"/>
      <c r="CI13" s="166"/>
      <c r="CJ13" s="166"/>
      <c r="CK13" s="166"/>
      <c r="CL13" s="166"/>
      <c r="CM13" s="166"/>
      <c r="CN13" s="166"/>
      <c r="CO13" s="166"/>
      <c r="CP13" s="166"/>
      <c r="CQ13" s="166"/>
      <c r="CR13" s="166"/>
      <c r="CS13" s="166"/>
      <c r="CT13" s="166"/>
      <c r="CU13" s="166"/>
      <c r="CV13" s="166"/>
      <c r="CW13" s="166"/>
      <c r="CX13" s="166"/>
      <c r="CY13" s="166"/>
      <c r="CZ13" s="166"/>
      <c r="DA13" s="166"/>
      <c r="DB13" s="166"/>
      <c r="DC13" s="166"/>
      <c r="DD13" s="166"/>
      <c r="DE13" s="166"/>
      <c r="DF13" s="166"/>
      <c r="DG13" s="166"/>
      <c r="DH13" s="166"/>
      <c r="DI13" s="166"/>
      <c r="DJ13" s="166"/>
      <c r="DK13" s="166"/>
      <c r="DL13" s="166"/>
      <c r="DM13" s="166"/>
      <c r="DN13" s="166"/>
      <c r="DO13" s="166"/>
      <c r="DP13" s="166"/>
      <c r="DQ13" s="167"/>
    </row>
    <row r="14" spans="1:121" s="164" customFormat="1" ht="15" customHeight="1" x14ac:dyDescent="0.2">
      <c r="A14" s="435" t="s">
        <v>7</v>
      </c>
      <c r="B14" s="160">
        <f t="shared" ref="B14:AL14" si="0">SUM(B10:B13)</f>
        <v>86963</v>
      </c>
      <c r="C14" s="160">
        <f t="shared" si="0"/>
        <v>92000</v>
      </c>
      <c r="D14" s="160">
        <f t="shared" si="0"/>
        <v>95991</v>
      </c>
      <c r="E14" s="160">
        <f t="shared" si="0"/>
        <v>104254</v>
      </c>
      <c r="F14" s="160">
        <f t="shared" si="0"/>
        <v>94172</v>
      </c>
      <c r="G14" s="160">
        <f t="shared" si="0"/>
        <v>105034</v>
      </c>
      <c r="H14" s="161">
        <f t="shared" si="0"/>
        <v>116681</v>
      </c>
      <c r="I14" s="161">
        <f t="shared" si="0"/>
        <v>115201</v>
      </c>
      <c r="J14" s="161">
        <f t="shared" si="0"/>
        <v>111849</v>
      </c>
      <c r="K14" s="161">
        <f t="shared" si="0"/>
        <v>124101</v>
      </c>
      <c r="L14" s="161">
        <f t="shared" si="0"/>
        <v>124446</v>
      </c>
      <c r="M14" s="161">
        <f t="shared" si="0"/>
        <v>118735</v>
      </c>
      <c r="N14" s="161">
        <f t="shared" si="0"/>
        <v>131245</v>
      </c>
      <c r="O14" s="161">
        <f t="shared" si="0"/>
        <v>127552</v>
      </c>
      <c r="P14" s="161">
        <f t="shared" si="0"/>
        <v>162063</v>
      </c>
      <c r="Q14" s="161">
        <f t="shared" si="0"/>
        <v>182667</v>
      </c>
      <c r="R14" s="161">
        <f t="shared" si="0"/>
        <v>176519</v>
      </c>
      <c r="S14" s="161">
        <f t="shared" si="0"/>
        <v>187202</v>
      </c>
      <c r="T14" s="161">
        <f t="shared" si="0"/>
        <v>199466</v>
      </c>
      <c r="U14" s="161">
        <f t="shared" si="0"/>
        <v>222420</v>
      </c>
      <c r="V14" s="161">
        <f t="shared" si="0"/>
        <v>253651</v>
      </c>
      <c r="W14" s="161">
        <f t="shared" si="0"/>
        <v>279977</v>
      </c>
      <c r="X14" s="161">
        <f t="shared" si="0"/>
        <v>242375</v>
      </c>
      <c r="Y14" s="161">
        <f t="shared" si="0"/>
        <v>239736</v>
      </c>
      <c r="Z14" s="161">
        <f t="shared" si="0"/>
        <v>229782</v>
      </c>
      <c r="AA14" s="161">
        <f t="shared" si="0"/>
        <v>242529</v>
      </c>
      <c r="AB14" s="161">
        <f t="shared" si="0"/>
        <v>237764.18</v>
      </c>
      <c r="AC14" s="161">
        <f t="shared" si="0"/>
        <v>242858</v>
      </c>
      <c r="AD14" s="161">
        <f t="shared" si="0"/>
        <v>255397</v>
      </c>
      <c r="AE14" s="161">
        <f t="shared" si="0"/>
        <v>258459.19</v>
      </c>
      <c r="AF14" s="161">
        <f t="shared" si="0"/>
        <v>248352.65</v>
      </c>
      <c r="AG14" s="161">
        <f t="shared" si="0"/>
        <v>240119</v>
      </c>
      <c r="AH14" s="161">
        <f t="shared" si="0"/>
        <v>275553</v>
      </c>
      <c r="AI14" s="161">
        <f t="shared" si="0"/>
        <v>279087.37999999995</v>
      </c>
      <c r="AJ14" s="161">
        <f t="shared" si="0"/>
        <v>315189</v>
      </c>
      <c r="AK14" s="161">
        <f t="shared" si="0"/>
        <v>346579.29</v>
      </c>
      <c r="AL14" s="161">
        <f t="shared" si="0"/>
        <v>337466</v>
      </c>
      <c r="AM14" s="161">
        <f t="shared" ref="AM14:AR14" si="1">SUM(AM10:AM13)</f>
        <v>376416</v>
      </c>
      <c r="AN14" s="161">
        <f t="shared" si="1"/>
        <v>432574</v>
      </c>
      <c r="AO14" s="161">
        <f t="shared" si="1"/>
        <v>445507.02</v>
      </c>
      <c r="AP14" s="161">
        <f t="shared" si="1"/>
        <v>456121</v>
      </c>
      <c r="AQ14" s="161">
        <f t="shared" si="1"/>
        <v>464004</v>
      </c>
      <c r="AR14" s="161">
        <f t="shared" si="1"/>
        <v>488702</v>
      </c>
      <c r="AS14" s="377">
        <f t="shared" ref="AS14" si="2">SUM(AS10:AS13)</f>
        <v>512273</v>
      </c>
      <c r="AT14" s="161"/>
      <c r="AU14" s="161"/>
      <c r="AV14" s="161"/>
      <c r="AW14" s="161"/>
      <c r="AX14" s="161"/>
      <c r="AY14" s="161"/>
      <c r="AZ14" s="161"/>
      <c r="BA14" s="161"/>
      <c r="BB14" s="161"/>
      <c r="BC14" s="161"/>
      <c r="BD14" s="161"/>
      <c r="BE14" s="161"/>
      <c r="BF14" s="161"/>
      <c r="BG14" s="161"/>
      <c r="BH14" s="161"/>
      <c r="BI14" s="161"/>
      <c r="BJ14" s="161"/>
      <c r="BK14" s="161"/>
      <c r="BL14" s="161"/>
      <c r="BM14" s="161"/>
      <c r="BN14" s="161"/>
      <c r="BO14" s="161"/>
      <c r="BP14" s="161"/>
      <c r="BQ14" s="161"/>
      <c r="BR14" s="161"/>
      <c r="BS14" s="161"/>
      <c r="BT14" s="161"/>
      <c r="BU14" s="161"/>
      <c r="BV14" s="161"/>
      <c r="BW14" s="161"/>
      <c r="BX14" s="161"/>
      <c r="BY14" s="161"/>
      <c r="BZ14" s="161"/>
      <c r="CA14" s="161"/>
      <c r="CB14" s="161"/>
      <c r="CC14" s="161"/>
      <c r="CD14" s="161"/>
      <c r="CE14" s="161"/>
      <c r="CF14" s="161"/>
      <c r="CG14" s="161"/>
      <c r="CH14" s="161"/>
      <c r="CI14" s="161"/>
      <c r="CJ14" s="161"/>
      <c r="CK14" s="161"/>
      <c r="CL14" s="161"/>
      <c r="CM14" s="161"/>
      <c r="CN14" s="161"/>
      <c r="CO14" s="161"/>
      <c r="CP14" s="161"/>
      <c r="CQ14" s="161"/>
      <c r="CR14" s="161"/>
      <c r="CS14" s="161"/>
      <c r="CT14" s="161"/>
      <c r="CU14" s="161"/>
      <c r="CV14" s="161"/>
      <c r="CW14" s="161"/>
      <c r="CX14" s="161"/>
      <c r="CY14" s="161"/>
      <c r="CZ14" s="161"/>
      <c r="DA14" s="161"/>
      <c r="DB14" s="161"/>
      <c r="DC14" s="161"/>
      <c r="DD14" s="161"/>
      <c r="DE14" s="161"/>
      <c r="DF14" s="161"/>
      <c r="DG14" s="161"/>
      <c r="DH14" s="161"/>
      <c r="DI14" s="161"/>
      <c r="DJ14" s="161"/>
      <c r="DK14" s="161"/>
      <c r="DL14" s="161"/>
      <c r="DM14" s="161"/>
      <c r="DN14" s="161"/>
      <c r="DO14" s="161"/>
      <c r="DP14" s="161"/>
      <c r="DQ14" s="163"/>
    </row>
    <row r="15" spans="1:121" s="164" customFormat="1" ht="15" customHeight="1" x14ac:dyDescent="0.2">
      <c r="A15" s="434" t="s">
        <v>455</v>
      </c>
      <c r="B15" s="223">
        <f>B14/281944*100</f>
        <v>30.844068325624946</v>
      </c>
      <c r="C15" s="223">
        <f>C14/290568*100</f>
        <v>31.662123840202639</v>
      </c>
      <c r="D15" s="223">
        <f>D14/317648*100</f>
        <v>30.219299350224148</v>
      </c>
      <c r="E15" s="223">
        <f>E14/341184*100</f>
        <v>30.55653254548865</v>
      </c>
      <c r="F15" s="223">
        <f>F14/355517*100</f>
        <v>26.488747373543319</v>
      </c>
      <c r="G15" s="223">
        <f>G14/403271*100</f>
        <v>26.045512818923257</v>
      </c>
      <c r="H15" s="391">
        <f>H14/422706*100</f>
        <v>27.603346060855539</v>
      </c>
      <c r="I15" s="391">
        <f>I14/454409*100</f>
        <v>25.35183061955199</v>
      </c>
      <c r="J15" s="391">
        <f>J14/482141*100</f>
        <v>23.198400467912915</v>
      </c>
      <c r="K15" s="391">
        <f>K14/482478*100</f>
        <v>25.721587305535177</v>
      </c>
      <c r="L15" s="391">
        <f>L14/485686*100</f>
        <v>25.622727441186282</v>
      </c>
      <c r="M15" s="391">
        <f>M14/506223*100</f>
        <v>23.455078097992388</v>
      </c>
      <c r="N15" s="391">
        <f>N14/532626*100</f>
        <v>24.641117782458984</v>
      </c>
      <c r="O15" s="391">
        <f>O14/558100*100</f>
        <v>22.854685540225766</v>
      </c>
      <c r="P15" s="391">
        <f>P14/611903*100</f>
        <v>26.485080151592655</v>
      </c>
      <c r="Q15" s="391">
        <f>Q14/637481*100</f>
        <v>28.654501075326166</v>
      </c>
      <c r="R15" s="391">
        <f>R14/675387*100</f>
        <v>26.135978335384006</v>
      </c>
      <c r="S15" s="391">
        <f>S14/689307*100</f>
        <v>27.158000716661807</v>
      </c>
      <c r="T15" s="391">
        <f>T14/722289*100</f>
        <v>27.615815829951725</v>
      </c>
      <c r="U15" s="391">
        <f>U14/761533*100</f>
        <v>29.206876130121739</v>
      </c>
      <c r="V15" s="391">
        <f>V14/785550*100-0.2</f>
        <v>32.089606008529053</v>
      </c>
      <c r="W15" s="391">
        <f>W14/830520*100</f>
        <v>33.711048499735107</v>
      </c>
      <c r="X15" s="391">
        <f>X14/856288*100</f>
        <v>28.305313165663886</v>
      </c>
      <c r="Y15" s="391">
        <f>Y14/879092*100</f>
        <v>27.270865847943103</v>
      </c>
      <c r="Z15" s="391">
        <f>Z14/894467*100</f>
        <v>25.689265227224706</v>
      </c>
      <c r="AA15" s="391">
        <f>AA14/896697*100</f>
        <v>27.046928895713933</v>
      </c>
      <c r="AB15" s="391">
        <v>26.19</v>
      </c>
      <c r="AC15" s="391">
        <v>26.74</v>
      </c>
      <c r="AD15" s="391">
        <v>27.69</v>
      </c>
      <c r="AE15" s="391">
        <v>27.76</v>
      </c>
      <c r="AF15" s="391">
        <v>25.15</v>
      </c>
      <c r="AG15" s="391">
        <v>23.27</v>
      </c>
      <c r="AH15" s="391">
        <v>26.6</v>
      </c>
      <c r="AI15" s="391">
        <v>27.1</v>
      </c>
      <c r="AJ15" s="391">
        <v>29.99</v>
      </c>
      <c r="AK15" s="391">
        <v>32.1</v>
      </c>
      <c r="AL15" s="391">
        <v>30.6</v>
      </c>
      <c r="AM15" s="391">
        <v>34.1</v>
      </c>
      <c r="AN15" s="391">
        <v>34</v>
      </c>
      <c r="AO15" s="391">
        <v>34.4</v>
      </c>
      <c r="AP15" s="391">
        <v>35.4</v>
      </c>
      <c r="AQ15" s="391">
        <v>35.9</v>
      </c>
      <c r="AR15" s="391">
        <v>37.299999999999997</v>
      </c>
      <c r="AS15" s="573">
        <v>39.5</v>
      </c>
      <c r="AT15" s="166"/>
      <c r="AU15" s="166"/>
      <c r="AV15" s="166"/>
      <c r="AW15" s="166"/>
      <c r="AX15" s="166"/>
      <c r="AY15" s="166"/>
      <c r="AZ15" s="166"/>
      <c r="BA15" s="166"/>
      <c r="BB15" s="166"/>
      <c r="BC15" s="166"/>
      <c r="BD15" s="166"/>
      <c r="BE15" s="166"/>
      <c r="BF15" s="166"/>
      <c r="BG15" s="166"/>
      <c r="BH15" s="166"/>
      <c r="BI15" s="166"/>
      <c r="BJ15" s="166"/>
      <c r="BK15" s="166"/>
      <c r="BL15" s="166"/>
      <c r="BM15" s="166"/>
      <c r="BN15" s="166"/>
      <c r="BO15" s="166"/>
      <c r="BP15" s="166"/>
      <c r="BQ15" s="166"/>
      <c r="BR15" s="166"/>
      <c r="BS15" s="166"/>
      <c r="BT15" s="166"/>
      <c r="BU15" s="166"/>
      <c r="BV15" s="166"/>
      <c r="BW15" s="166"/>
      <c r="BX15" s="166"/>
      <c r="BY15" s="166"/>
      <c r="BZ15" s="166"/>
      <c r="CA15" s="166"/>
      <c r="CB15" s="166"/>
      <c r="CC15" s="166"/>
      <c r="CD15" s="166"/>
      <c r="CE15" s="166"/>
      <c r="CF15" s="166"/>
      <c r="CG15" s="166"/>
      <c r="CH15" s="166"/>
      <c r="CI15" s="166"/>
      <c r="CJ15" s="166"/>
      <c r="CK15" s="166"/>
      <c r="CL15" s="166"/>
      <c r="CM15" s="166"/>
      <c r="CN15" s="166"/>
      <c r="CO15" s="166"/>
      <c r="CP15" s="166"/>
      <c r="CQ15" s="166"/>
      <c r="CR15" s="166"/>
      <c r="CS15" s="166"/>
      <c r="CT15" s="166"/>
      <c r="CU15" s="166"/>
      <c r="CV15" s="166"/>
      <c r="CW15" s="166"/>
      <c r="CX15" s="166"/>
      <c r="CY15" s="166"/>
      <c r="CZ15" s="166"/>
      <c r="DA15" s="166"/>
      <c r="DB15" s="166"/>
      <c r="DC15" s="166"/>
      <c r="DD15" s="166"/>
      <c r="DE15" s="166"/>
      <c r="DF15" s="166"/>
      <c r="DG15" s="166"/>
      <c r="DH15" s="166"/>
      <c r="DI15" s="166"/>
      <c r="DJ15" s="166"/>
      <c r="DK15" s="166"/>
      <c r="DL15" s="166"/>
      <c r="DM15" s="166"/>
      <c r="DN15" s="166"/>
      <c r="DO15" s="166"/>
      <c r="DP15" s="166"/>
      <c r="DQ15" s="167"/>
    </row>
    <row r="16" spans="1:121" ht="5.0999999999999996" customHeight="1" x14ac:dyDescent="0.2">
      <c r="A16" s="431"/>
      <c r="B16" s="126"/>
      <c r="C16" s="126"/>
      <c r="D16" s="126"/>
      <c r="E16" s="126"/>
      <c r="F16" s="126"/>
      <c r="G16" s="126"/>
      <c r="H16" s="126"/>
      <c r="I16" s="126"/>
      <c r="J16" s="125"/>
      <c r="K16" s="125"/>
      <c r="L16" s="125"/>
      <c r="M16" s="125"/>
      <c r="N16" s="125"/>
      <c r="O16" s="125"/>
      <c r="P16" s="125"/>
      <c r="Q16" s="125"/>
      <c r="R16" s="125"/>
      <c r="S16" s="125"/>
      <c r="T16" s="125"/>
      <c r="U16" s="125"/>
      <c r="V16" s="125"/>
      <c r="W16" s="125"/>
      <c r="X16" s="125"/>
      <c r="Y16" s="125"/>
      <c r="Z16" s="125"/>
      <c r="AA16" s="125"/>
      <c r="AB16" s="125"/>
      <c r="AC16" s="125"/>
      <c r="AD16" s="125"/>
      <c r="AE16" s="125"/>
      <c r="AF16" s="125"/>
      <c r="AG16" s="125"/>
      <c r="AH16" s="125"/>
      <c r="AI16" s="125"/>
      <c r="AJ16" s="125"/>
      <c r="AK16" s="125"/>
      <c r="AL16" s="125"/>
      <c r="AM16" s="125"/>
      <c r="AN16" s="125"/>
      <c r="AO16" s="125"/>
      <c r="AP16" s="550"/>
      <c r="AQ16" s="550"/>
      <c r="AR16" s="550"/>
      <c r="AS16" s="418"/>
    </row>
    <row r="17" spans="1:121" s="164" customFormat="1" ht="15" customHeight="1" x14ac:dyDescent="0.2">
      <c r="A17" s="434" t="s">
        <v>456</v>
      </c>
      <c r="B17" s="165">
        <v>10571</v>
      </c>
      <c r="C17" s="165">
        <v>11577</v>
      </c>
      <c r="D17" s="165">
        <v>12107</v>
      </c>
      <c r="E17" s="165">
        <v>10198</v>
      </c>
      <c r="F17" s="165">
        <v>10995</v>
      </c>
      <c r="G17" s="165">
        <v>13922</v>
      </c>
      <c r="H17" s="166">
        <v>15691</v>
      </c>
      <c r="I17" s="166">
        <v>16397</v>
      </c>
      <c r="J17" s="166">
        <v>18967</v>
      </c>
      <c r="K17" s="166">
        <v>22009</v>
      </c>
      <c r="L17" s="166">
        <v>23278</v>
      </c>
      <c r="M17" s="166">
        <v>27884</v>
      </c>
      <c r="N17" s="166">
        <v>26064</v>
      </c>
      <c r="O17" s="166">
        <v>29202</v>
      </c>
      <c r="P17" s="166">
        <v>34018</v>
      </c>
      <c r="Q17" s="166">
        <v>30851</v>
      </c>
      <c r="R17" s="166">
        <v>40962</v>
      </c>
      <c r="S17" s="166">
        <v>44223</v>
      </c>
      <c r="T17" s="166">
        <v>45156</v>
      </c>
      <c r="U17" s="166">
        <v>43303</v>
      </c>
      <c r="V17" s="166">
        <v>41308</v>
      </c>
      <c r="W17" s="166">
        <v>42530</v>
      </c>
      <c r="X17" s="166">
        <v>77163</v>
      </c>
      <c r="Y17" s="166">
        <v>75751</v>
      </c>
      <c r="Z17" s="166">
        <v>70818</v>
      </c>
      <c r="AA17" s="166">
        <v>66499</v>
      </c>
      <c r="AB17" s="166">
        <v>75915.100000000006</v>
      </c>
      <c r="AC17" s="166">
        <v>70468</v>
      </c>
      <c r="AD17" s="166">
        <v>66573</v>
      </c>
      <c r="AE17" s="166">
        <v>74741.210000000006</v>
      </c>
      <c r="AF17" s="166">
        <v>95092.3</v>
      </c>
      <c r="AG17" s="166">
        <v>106239.3</v>
      </c>
      <c r="AH17" s="166">
        <v>68877</v>
      </c>
      <c r="AI17" s="166">
        <v>77027.679999999993</v>
      </c>
      <c r="AJ17" s="166">
        <v>49282</v>
      </c>
      <c r="AK17" s="166">
        <v>61004.56</v>
      </c>
      <c r="AL17" s="166">
        <v>77460</v>
      </c>
      <c r="AM17" s="166">
        <v>61164</v>
      </c>
      <c r="AN17" s="166">
        <v>76610</v>
      </c>
      <c r="AO17" s="166">
        <v>104366.3</v>
      </c>
      <c r="AP17" s="166">
        <v>93579</v>
      </c>
      <c r="AQ17" s="166">
        <v>76102</v>
      </c>
      <c r="AR17" s="166">
        <v>83397</v>
      </c>
      <c r="AS17" s="374">
        <v>72377</v>
      </c>
      <c r="AT17" s="166"/>
      <c r="AU17" s="166"/>
      <c r="AV17" s="166"/>
      <c r="AW17" s="166"/>
      <c r="AX17" s="166"/>
      <c r="AY17" s="166"/>
      <c r="AZ17" s="166"/>
      <c r="BA17" s="166"/>
      <c r="BB17" s="166"/>
      <c r="BC17" s="166"/>
      <c r="BD17" s="166"/>
      <c r="BE17" s="166"/>
      <c r="BF17" s="166"/>
      <c r="BG17" s="166"/>
      <c r="BH17" s="166"/>
      <c r="BI17" s="166"/>
      <c r="BJ17" s="166"/>
      <c r="BK17" s="166"/>
      <c r="BL17" s="166"/>
      <c r="BM17" s="166"/>
      <c r="BN17" s="166"/>
      <c r="BO17" s="166"/>
      <c r="BP17" s="166"/>
      <c r="BQ17" s="166"/>
      <c r="BR17" s="166"/>
      <c r="BS17" s="166"/>
      <c r="BT17" s="166"/>
      <c r="BU17" s="166"/>
      <c r="BV17" s="166"/>
      <c r="BW17" s="166"/>
      <c r="BX17" s="166"/>
      <c r="BY17" s="166"/>
      <c r="BZ17" s="166"/>
      <c r="CA17" s="166"/>
      <c r="CB17" s="166"/>
      <c r="CC17" s="166"/>
      <c r="CD17" s="166"/>
      <c r="CE17" s="166"/>
      <c r="CF17" s="166"/>
      <c r="CG17" s="166"/>
      <c r="CH17" s="166"/>
      <c r="CI17" s="166"/>
      <c r="CJ17" s="166"/>
      <c r="CK17" s="166"/>
      <c r="CL17" s="166"/>
      <c r="CM17" s="166"/>
      <c r="CN17" s="166"/>
      <c r="CO17" s="166"/>
      <c r="CP17" s="166"/>
      <c r="CQ17" s="166"/>
      <c r="CR17" s="166"/>
      <c r="CS17" s="166"/>
      <c r="CT17" s="166"/>
      <c r="CU17" s="166"/>
      <c r="CV17" s="166"/>
      <c r="CW17" s="166"/>
      <c r="CX17" s="166"/>
      <c r="CY17" s="166"/>
      <c r="CZ17" s="166"/>
      <c r="DA17" s="166"/>
      <c r="DB17" s="166"/>
      <c r="DC17" s="166"/>
      <c r="DD17" s="166"/>
      <c r="DE17" s="166"/>
      <c r="DF17" s="166"/>
      <c r="DG17" s="166"/>
      <c r="DH17" s="166"/>
      <c r="DI17" s="166"/>
      <c r="DJ17" s="166"/>
      <c r="DK17" s="166"/>
      <c r="DL17" s="166"/>
      <c r="DM17" s="166"/>
      <c r="DN17" s="166"/>
      <c r="DO17" s="166"/>
      <c r="DP17" s="166"/>
      <c r="DQ17" s="167"/>
    </row>
    <row r="18" spans="1:121" ht="5.0999999999999996" customHeight="1" x14ac:dyDescent="0.2">
      <c r="A18" s="21"/>
      <c r="B18" s="124"/>
      <c r="C18" s="124"/>
      <c r="D18" s="124"/>
      <c r="E18" s="124"/>
      <c r="F18" s="124"/>
      <c r="G18" s="124"/>
      <c r="H18" s="104"/>
      <c r="I18" s="104"/>
      <c r="J18" s="102"/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102"/>
      <c r="Y18" s="102"/>
      <c r="Z18" s="102"/>
      <c r="AA18" s="102"/>
      <c r="AB18" s="102"/>
      <c r="AC18" s="102"/>
      <c r="AD18" s="102"/>
      <c r="AE18" s="102"/>
      <c r="AF18" s="102"/>
      <c r="AG18" s="102"/>
      <c r="AH18" s="102"/>
      <c r="AI18" s="102"/>
      <c r="AJ18" s="102"/>
      <c r="AK18" s="102"/>
      <c r="AL18" s="102"/>
      <c r="AM18" s="102"/>
      <c r="AN18" s="102"/>
      <c r="AO18" s="102"/>
      <c r="AP18" s="55"/>
      <c r="AQ18" s="55"/>
      <c r="AR18" s="55"/>
      <c r="AS18" s="55"/>
    </row>
    <row r="19" spans="1:121" s="178" customFormat="1" ht="15" customHeight="1" thickBot="1" x14ac:dyDescent="0.25">
      <c r="A19" s="175" t="s">
        <v>10</v>
      </c>
      <c r="B19" s="176">
        <f t="shared" ref="B19:AL19" si="3">B14+B17</f>
        <v>97534</v>
      </c>
      <c r="C19" s="176">
        <f t="shared" si="3"/>
        <v>103577</v>
      </c>
      <c r="D19" s="176">
        <f t="shared" si="3"/>
        <v>108098</v>
      </c>
      <c r="E19" s="176">
        <f t="shared" si="3"/>
        <v>114452</v>
      </c>
      <c r="F19" s="176">
        <f t="shared" si="3"/>
        <v>105167</v>
      </c>
      <c r="G19" s="176">
        <f t="shared" si="3"/>
        <v>118956</v>
      </c>
      <c r="H19" s="176">
        <f t="shared" si="3"/>
        <v>132372</v>
      </c>
      <c r="I19" s="176">
        <f t="shared" si="3"/>
        <v>131598</v>
      </c>
      <c r="J19" s="176">
        <f t="shared" si="3"/>
        <v>130816</v>
      </c>
      <c r="K19" s="176">
        <f t="shared" si="3"/>
        <v>146110</v>
      </c>
      <c r="L19" s="176">
        <f t="shared" si="3"/>
        <v>147724</v>
      </c>
      <c r="M19" s="176">
        <f t="shared" si="3"/>
        <v>146619</v>
      </c>
      <c r="N19" s="176">
        <f t="shared" si="3"/>
        <v>157309</v>
      </c>
      <c r="O19" s="176">
        <f t="shared" si="3"/>
        <v>156754</v>
      </c>
      <c r="P19" s="176">
        <f t="shared" si="3"/>
        <v>196081</v>
      </c>
      <c r="Q19" s="176">
        <f t="shared" si="3"/>
        <v>213518</v>
      </c>
      <c r="R19" s="176">
        <f t="shared" si="3"/>
        <v>217481</v>
      </c>
      <c r="S19" s="176">
        <f t="shared" si="3"/>
        <v>231425</v>
      </c>
      <c r="T19" s="176">
        <f t="shared" si="3"/>
        <v>244622</v>
      </c>
      <c r="U19" s="176">
        <f t="shared" si="3"/>
        <v>265723</v>
      </c>
      <c r="V19" s="176">
        <f t="shared" si="3"/>
        <v>294959</v>
      </c>
      <c r="W19" s="176">
        <f t="shared" si="3"/>
        <v>322507</v>
      </c>
      <c r="X19" s="176">
        <f t="shared" si="3"/>
        <v>319538</v>
      </c>
      <c r="Y19" s="176">
        <f t="shared" si="3"/>
        <v>315487</v>
      </c>
      <c r="Z19" s="176">
        <f t="shared" si="3"/>
        <v>300600</v>
      </c>
      <c r="AA19" s="176">
        <f t="shared" si="3"/>
        <v>309028</v>
      </c>
      <c r="AB19" s="176">
        <f t="shared" si="3"/>
        <v>313679.28000000003</v>
      </c>
      <c r="AC19" s="176">
        <f t="shared" si="3"/>
        <v>313326</v>
      </c>
      <c r="AD19" s="176">
        <f t="shared" si="3"/>
        <v>321970</v>
      </c>
      <c r="AE19" s="176">
        <f t="shared" si="3"/>
        <v>333200.40000000002</v>
      </c>
      <c r="AF19" s="176">
        <f t="shared" si="3"/>
        <v>343444.95</v>
      </c>
      <c r="AG19" s="176">
        <f t="shared" si="3"/>
        <v>346358.3</v>
      </c>
      <c r="AH19" s="176">
        <f t="shared" si="3"/>
        <v>344430</v>
      </c>
      <c r="AI19" s="176">
        <f t="shared" si="3"/>
        <v>356115.05999999994</v>
      </c>
      <c r="AJ19" s="176">
        <f t="shared" si="3"/>
        <v>364471</v>
      </c>
      <c r="AK19" s="176">
        <f t="shared" si="3"/>
        <v>407583.85</v>
      </c>
      <c r="AL19" s="176">
        <f t="shared" si="3"/>
        <v>414926</v>
      </c>
      <c r="AM19" s="176">
        <f t="shared" ref="AM19:AR19" si="4">AM14+AM17</f>
        <v>437580</v>
      </c>
      <c r="AN19" s="176">
        <f t="shared" si="4"/>
        <v>509184</v>
      </c>
      <c r="AO19" s="176">
        <f t="shared" si="4"/>
        <v>549873.32000000007</v>
      </c>
      <c r="AP19" s="176">
        <f t="shared" si="4"/>
        <v>549700</v>
      </c>
      <c r="AQ19" s="176">
        <f t="shared" si="4"/>
        <v>540106</v>
      </c>
      <c r="AR19" s="176">
        <f t="shared" si="4"/>
        <v>572099</v>
      </c>
      <c r="AS19" s="176">
        <f t="shared" ref="AS19" si="5">AS14+AS17</f>
        <v>584650</v>
      </c>
      <c r="AT19" s="193"/>
      <c r="AU19" s="193"/>
      <c r="AV19" s="193"/>
      <c r="AW19" s="193"/>
      <c r="AX19" s="193"/>
      <c r="AY19" s="193"/>
      <c r="AZ19" s="193"/>
      <c r="BA19" s="193"/>
      <c r="BB19" s="193"/>
      <c r="BC19" s="193"/>
      <c r="BD19" s="193"/>
      <c r="BE19" s="193"/>
      <c r="BF19" s="193"/>
      <c r="BG19" s="193"/>
      <c r="BH19" s="193"/>
      <c r="BI19" s="193"/>
      <c r="BJ19" s="193"/>
      <c r="BK19" s="193"/>
      <c r="BL19" s="193"/>
      <c r="BM19" s="193"/>
      <c r="BN19" s="193"/>
      <c r="BO19" s="193"/>
      <c r="BP19" s="193"/>
      <c r="BQ19" s="193"/>
      <c r="BR19" s="193"/>
      <c r="BS19" s="193"/>
      <c r="BT19" s="193"/>
      <c r="BU19" s="193"/>
      <c r="BV19" s="193"/>
      <c r="BW19" s="193"/>
      <c r="BX19" s="193"/>
      <c r="BY19" s="193"/>
      <c r="BZ19" s="193"/>
      <c r="CA19" s="193"/>
      <c r="CB19" s="193"/>
      <c r="CC19" s="193"/>
      <c r="CD19" s="193"/>
      <c r="CE19" s="193"/>
      <c r="CF19" s="193"/>
      <c r="CG19" s="193"/>
      <c r="CH19" s="193"/>
      <c r="CI19" s="193"/>
      <c r="CJ19" s="193"/>
      <c r="CK19" s="193"/>
      <c r="CL19" s="193"/>
      <c r="CM19" s="193"/>
      <c r="CN19" s="193"/>
      <c r="CO19" s="193"/>
      <c r="CP19" s="193"/>
      <c r="CQ19" s="193"/>
      <c r="CR19" s="193"/>
      <c r="CS19" s="193"/>
      <c r="CT19" s="193"/>
      <c r="CU19" s="193"/>
      <c r="CV19" s="193"/>
      <c r="CW19" s="193"/>
      <c r="CX19" s="193"/>
      <c r="CY19" s="193"/>
      <c r="CZ19" s="193"/>
      <c r="DA19" s="193"/>
      <c r="DB19" s="193"/>
      <c r="DC19" s="193"/>
      <c r="DD19" s="193"/>
      <c r="DE19" s="193"/>
      <c r="DF19" s="193"/>
      <c r="DG19" s="193"/>
      <c r="DH19" s="193"/>
      <c r="DI19" s="193"/>
      <c r="DJ19" s="193"/>
      <c r="DK19" s="193"/>
      <c r="DL19" s="193"/>
      <c r="DM19" s="193"/>
      <c r="DN19" s="193"/>
      <c r="DO19" s="193"/>
      <c r="DP19" s="193"/>
      <c r="DQ19" s="193"/>
    </row>
    <row r="20" spans="1:121" s="178" customFormat="1" ht="5.0999999999999996" customHeight="1" thickTop="1" x14ac:dyDescent="0.2">
      <c r="A20" s="560"/>
      <c r="B20" s="193"/>
      <c r="C20" s="193"/>
      <c r="D20" s="193"/>
      <c r="E20" s="193"/>
      <c r="F20" s="193"/>
      <c r="G20" s="193"/>
      <c r="H20" s="193"/>
      <c r="I20" s="193"/>
      <c r="J20" s="193"/>
      <c r="K20" s="193"/>
      <c r="L20" s="193"/>
      <c r="M20" s="193"/>
      <c r="N20" s="193"/>
      <c r="O20" s="193"/>
      <c r="P20" s="193"/>
      <c r="Q20" s="193"/>
      <c r="R20" s="193"/>
      <c r="S20" s="193"/>
      <c r="T20" s="193"/>
      <c r="U20" s="193"/>
      <c r="V20" s="193"/>
      <c r="W20" s="193"/>
      <c r="X20" s="193"/>
      <c r="Y20" s="193"/>
      <c r="Z20" s="193"/>
      <c r="AA20" s="193"/>
      <c r="AB20" s="193"/>
      <c r="AC20" s="193"/>
      <c r="AD20" s="193"/>
      <c r="AE20" s="193"/>
      <c r="AF20" s="193"/>
      <c r="AG20" s="193"/>
      <c r="AH20" s="193"/>
      <c r="AI20" s="193"/>
      <c r="AJ20" s="193"/>
      <c r="AK20" s="193"/>
      <c r="AL20" s="193"/>
      <c r="AM20" s="193"/>
      <c r="AN20" s="193"/>
      <c r="AO20" s="193"/>
      <c r="AP20" s="193"/>
      <c r="AQ20" s="193"/>
      <c r="AR20" s="193"/>
      <c r="AS20" s="193"/>
      <c r="AT20" s="193"/>
      <c r="AU20" s="193"/>
      <c r="AV20" s="193"/>
      <c r="AW20" s="193"/>
      <c r="AX20" s="193"/>
      <c r="AY20" s="193"/>
      <c r="AZ20" s="193"/>
      <c r="BA20" s="193"/>
      <c r="BB20" s="193"/>
      <c r="BC20" s="193"/>
      <c r="BD20" s="193"/>
      <c r="BE20" s="193"/>
      <c r="BF20" s="193"/>
      <c r="BG20" s="193"/>
      <c r="BH20" s="193"/>
      <c r="BI20" s="193"/>
      <c r="BJ20" s="193"/>
      <c r="BK20" s="193"/>
      <c r="BL20" s="193"/>
      <c r="BM20" s="193"/>
      <c r="BN20" s="193"/>
      <c r="BO20" s="193"/>
      <c r="BP20" s="193"/>
      <c r="BQ20" s="193"/>
      <c r="BR20" s="193"/>
      <c r="BS20" s="193"/>
      <c r="BT20" s="193"/>
      <c r="BU20" s="193"/>
      <c r="BV20" s="193"/>
      <c r="BW20" s="193"/>
      <c r="BX20" s="193"/>
      <c r="BY20" s="193"/>
      <c r="BZ20" s="193"/>
      <c r="CA20" s="193"/>
      <c r="CB20" s="193"/>
      <c r="CC20" s="193"/>
      <c r="CD20" s="193"/>
      <c r="CE20" s="193"/>
      <c r="CF20" s="193"/>
      <c r="CG20" s="193"/>
      <c r="CH20" s="193"/>
      <c r="CI20" s="193"/>
      <c r="CJ20" s="193"/>
      <c r="CK20" s="193"/>
      <c r="CL20" s="193"/>
      <c r="CM20" s="193"/>
      <c r="CN20" s="193"/>
      <c r="CO20" s="193"/>
      <c r="CP20" s="193"/>
      <c r="CQ20" s="193"/>
      <c r="CR20" s="193"/>
      <c r="CS20" s="193"/>
      <c r="CT20" s="193"/>
      <c r="CU20" s="193"/>
      <c r="CV20" s="193"/>
      <c r="CW20" s="193"/>
      <c r="CX20" s="193"/>
      <c r="CY20" s="193"/>
      <c r="CZ20" s="193"/>
      <c r="DA20" s="193"/>
      <c r="DB20" s="193"/>
      <c r="DC20" s="193"/>
      <c r="DD20" s="193"/>
      <c r="DE20" s="193"/>
      <c r="DF20" s="193"/>
      <c r="DG20" s="193"/>
      <c r="DH20" s="193"/>
      <c r="DI20" s="193"/>
      <c r="DJ20" s="193"/>
      <c r="DK20" s="193"/>
      <c r="DL20" s="193"/>
      <c r="DM20" s="193"/>
      <c r="DN20" s="193"/>
      <c r="DO20" s="193"/>
      <c r="DP20" s="193"/>
      <c r="DQ20" s="193"/>
    </row>
    <row r="21" spans="1:121" s="178" customFormat="1" ht="15" customHeight="1" thickBot="1" x14ac:dyDescent="0.25">
      <c r="A21" s="175" t="s">
        <v>455</v>
      </c>
      <c r="B21" s="390">
        <f>B19/281944*100</f>
        <v>34.593394432937039</v>
      </c>
      <c r="C21" s="390">
        <f>C19/290568*100</f>
        <v>35.646389141268138</v>
      </c>
      <c r="D21" s="390">
        <f>D19/317648*100</f>
        <v>34.030751019996977</v>
      </c>
      <c r="E21" s="390">
        <f>E19/341184*100</f>
        <v>33.545535546801723</v>
      </c>
      <c r="F21" s="390">
        <f>F19/355517*100</f>
        <v>29.581426485934571</v>
      </c>
      <c r="G21" s="390">
        <f>G19/403271*100</f>
        <v>29.497781888605921</v>
      </c>
      <c r="H21" s="390">
        <f>H19/422706*100</f>
        <v>31.315382322465258</v>
      </c>
      <c r="I21" s="390">
        <f>I19/454409*100</f>
        <v>28.96025386821124</v>
      </c>
      <c r="J21" s="390">
        <f>J19/482141*100</f>
        <v>27.132311917053308</v>
      </c>
      <c r="K21" s="390">
        <f>K19/482478*100</f>
        <v>30.283246075468728</v>
      </c>
      <c r="L21" s="390">
        <f>L19/485686*100</f>
        <v>30.415535963564938</v>
      </c>
      <c r="M21" s="390">
        <f>M19/506223*100</f>
        <v>28.963322488310489</v>
      </c>
      <c r="N21" s="390">
        <f>N19/532626*100</f>
        <v>29.534607773559685</v>
      </c>
      <c r="O21" s="390">
        <f>O19/558100*100</f>
        <v>28.087081168249416</v>
      </c>
      <c r="P21" s="390">
        <f>P19/611903*100</f>
        <v>32.044458026844126</v>
      </c>
      <c r="Q21" s="390">
        <f>Q19/637481*100</f>
        <v>33.49401786092448</v>
      </c>
      <c r="R21" s="390">
        <f>R19/675387*100</f>
        <v>32.200945531969076</v>
      </c>
      <c r="S21" s="390">
        <f>S19/689307*100</f>
        <v>33.57357461914647</v>
      </c>
      <c r="T21" s="390">
        <f>T19/722289*100</f>
        <v>33.867607010490261</v>
      </c>
      <c r="U21" s="390">
        <f>U19/761533*100</f>
        <v>34.893169435861608</v>
      </c>
      <c r="V21" s="390">
        <f>V19/785550*100-0.1</f>
        <v>37.448087327350265</v>
      </c>
      <c r="W21" s="390">
        <f>W19/830520*100</f>
        <v>38.831936618022446</v>
      </c>
      <c r="X21" s="390">
        <f>X19/856288*100</f>
        <v>37.316650472738147</v>
      </c>
      <c r="Y21" s="390">
        <f>Y19/879092*100</f>
        <v>35.887825165056675</v>
      </c>
      <c r="Z21" s="390">
        <f>Z19/894467*100</f>
        <v>33.606605945216536</v>
      </c>
      <c r="AA21" s="390">
        <f>AA19/896697*100</f>
        <v>34.462923373224172</v>
      </c>
      <c r="AB21" s="390">
        <v>34.549999999999997</v>
      </c>
      <c r="AC21" s="390">
        <v>34.5</v>
      </c>
      <c r="AD21" s="390">
        <v>34.909999999999997</v>
      </c>
      <c r="AE21" s="390">
        <v>35.78</v>
      </c>
      <c r="AF21" s="390">
        <v>34.799999999999997</v>
      </c>
      <c r="AG21" s="390">
        <v>33.6</v>
      </c>
      <c r="AH21" s="390">
        <v>33.299999999999997</v>
      </c>
      <c r="AI21" s="390">
        <v>34.58</v>
      </c>
      <c r="AJ21" s="390">
        <v>34.68</v>
      </c>
      <c r="AK21" s="390">
        <v>37.75</v>
      </c>
      <c r="AL21" s="390">
        <v>37.700000000000003</v>
      </c>
      <c r="AM21" s="390">
        <v>39.6</v>
      </c>
      <c r="AN21" s="390">
        <v>40</v>
      </c>
      <c r="AO21" s="390">
        <v>42.5</v>
      </c>
      <c r="AP21" s="390">
        <v>42.5</v>
      </c>
      <c r="AQ21" s="390">
        <v>41.8</v>
      </c>
      <c r="AR21" s="390">
        <v>43.6</v>
      </c>
      <c r="AS21" s="390">
        <v>45</v>
      </c>
      <c r="AT21" s="193"/>
      <c r="AU21" s="193"/>
      <c r="AV21" s="193"/>
      <c r="AW21" s="193"/>
      <c r="AX21" s="193"/>
      <c r="AY21" s="193"/>
      <c r="AZ21" s="193"/>
      <c r="BA21" s="193"/>
      <c r="BB21" s="193"/>
      <c r="BC21" s="193"/>
      <c r="BD21" s="193"/>
      <c r="BE21" s="193"/>
      <c r="BF21" s="193"/>
      <c r="BG21" s="193"/>
      <c r="BH21" s="193"/>
      <c r="BI21" s="193"/>
      <c r="BJ21" s="193"/>
      <c r="BK21" s="193"/>
      <c r="BL21" s="193"/>
      <c r="BM21" s="193"/>
      <c r="BN21" s="193"/>
      <c r="BO21" s="193"/>
      <c r="BP21" s="193"/>
      <c r="BQ21" s="193"/>
      <c r="BR21" s="193"/>
      <c r="BS21" s="193"/>
      <c r="BT21" s="193"/>
      <c r="BU21" s="193"/>
      <c r="BV21" s="193"/>
      <c r="BW21" s="193"/>
      <c r="BX21" s="193"/>
      <c r="BY21" s="193"/>
      <c r="BZ21" s="193"/>
      <c r="CA21" s="193"/>
      <c r="CB21" s="193"/>
      <c r="CC21" s="193"/>
      <c r="CD21" s="193"/>
      <c r="CE21" s="193"/>
      <c r="CF21" s="193"/>
      <c r="CG21" s="193"/>
      <c r="CH21" s="193"/>
      <c r="CI21" s="193"/>
      <c r="CJ21" s="193"/>
      <c r="CK21" s="193"/>
      <c r="CL21" s="193"/>
      <c r="CM21" s="193"/>
      <c r="CN21" s="193"/>
      <c r="CO21" s="193"/>
      <c r="CP21" s="193"/>
      <c r="CQ21" s="193"/>
      <c r="CR21" s="193"/>
      <c r="CS21" s="193"/>
      <c r="CT21" s="193"/>
      <c r="CU21" s="193"/>
      <c r="CV21" s="193"/>
      <c r="CW21" s="193"/>
      <c r="CX21" s="193"/>
      <c r="CY21" s="193"/>
      <c r="CZ21" s="193"/>
      <c r="DA21" s="193"/>
      <c r="DB21" s="193"/>
      <c r="DC21" s="193"/>
      <c r="DD21" s="193"/>
      <c r="DE21" s="193"/>
      <c r="DF21" s="193"/>
      <c r="DG21" s="193"/>
      <c r="DH21" s="193"/>
      <c r="DI21" s="193"/>
      <c r="DJ21" s="193"/>
      <c r="DK21" s="193"/>
      <c r="DL21" s="193"/>
      <c r="DM21" s="193"/>
      <c r="DN21" s="193"/>
      <c r="DO21" s="193"/>
      <c r="DP21" s="193"/>
      <c r="DQ21" s="193"/>
    </row>
    <row r="22" spans="1:121" ht="12.95" customHeight="1" thickTop="1" x14ac:dyDescent="0.2">
      <c r="A22" s="21"/>
      <c r="B22" s="29"/>
      <c r="C22" s="29"/>
      <c r="D22" s="29"/>
      <c r="E22" s="29"/>
      <c r="F22" s="28"/>
      <c r="G22" s="28"/>
      <c r="H22" s="29"/>
      <c r="I22" s="29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</row>
    <row r="23" spans="1:121" ht="12.95" customHeight="1" x14ac:dyDescent="0.2">
      <c r="A23" s="21"/>
      <c r="B23" s="30"/>
      <c r="C23" s="30"/>
      <c r="D23" s="30"/>
      <c r="E23" s="30"/>
      <c r="F23" s="28"/>
      <c r="G23" s="28"/>
      <c r="H23" s="30"/>
      <c r="I23" s="30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</row>
    <row r="24" spans="1:121" ht="12.95" customHeight="1" x14ac:dyDescent="0.2">
      <c r="A24" s="21"/>
      <c r="B24" s="29"/>
      <c r="C24" s="29"/>
      <c r="D24" s="29"/>
      <c r="E24" s="29"/>
      <c r="F24" s="28"/>
      <c r="G24" s="28"/>
      <c r="H24" s="29"/>
      <c r="I24" s="29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</row>
    <row r="25" spans="1:121" ht="12.95" customHeight="1" x14ac:dyDescent="0.2">
      <c r="A25" s="21"/>
      <c r="B25" s="29"/>
      <c r="C25" s="29"/>
      <c r="D25" s="29"/>
      <c r="E25" s="29"/>
      <c r="F25" s="28"/>
      <c r="G25" s="28"/>
      <c r="H25" s="29"/>
      <c r="I25" s="29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</row>
    <row r="26" spans="1:121" ht="12.95" customHeight="1" x14ac:dyDescent="0.2">
      <c r="A26" s="445"/>
      <c r="B26" s="29"/>
      <c r="C26" s="29"/>
      <c r="D26" s="29"/>
      <c r="E26" s="29"/>
      <c r="F26" s="31"/>
      <c r="G26" s="31"/>
      <c r="H26" s="29"/>
      <c r="I26" s="29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</row>
    <row r="27" spans="1:121" ht="12.95" customHeight="1" x14ac:dyDescent="0.2">
      <c r="A27" s="21"/>
      <c r="B27" s="30"/>
      <c r="C27" s="30"/>
      <c r="D27" s="30"/>
      <c r="E27" s="30"/>
      <c r="F27" s="28"/>
      <c r="G27" s="28"/>
      <c r="H27" s="30"/>
      <c r="I27" s="30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</row>
    <row r="28" spans="1:121" ht="12.95" customHeight="1" x14ac:dyDescent="0.2">
      <c r="A28" s="21"/>
      <c r="B28" s="29"/>
      <c r="C28" s="29"/>
      <c r="D28" s="29"/>
      <c r="E28" s="29"/>
      <c r="F28" s="28"/>
      <c r="G28" s="28"/>
      <c r="H28" s="29"/>
      <c r="I28" s="29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</row>
    <row r="29" spans="1:121" ht="12.95" customHeight="1" x14ac:dyDescent="0.2">
      <c r="A29" s="21"/>
      <c r="B29" s="29"/>
      <c r="C29" s="29"/>
      <c r="D29" s="29"/>
      <c r="E29" s="29"/>
      <c r="F29" s="28"/>
      <c r="G29" s="28"/>
      <c r="H29" s="29"/>
      <c r="I29" s="29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</row>
    <row r="30" spans="1:121" ht="12.95" customHeight="1" x14ac:dyDescent="0.2">
      <c r="A30" s="21"/>
      <c r="B30" s="29"/>
      <c r="C30" s="29"/>
      <c r="D30" s="29"/>
      <c r="E30" s="29"/>
      <c r="F30" s="28"/>
      <c r="G30" s="28"/>
      <c r="H30" s="29"/>
      <c r="I30" s="29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</row>
    <row r="31" spans="1:121" ht="12.95" customHeight="1" x14ac:dyDescent="0.2">
      <c r="A31" s="21"/>
      <c r="B31" s="30"/>
      <c r="C31" s="30"/>
      <c r="D31" s="30"/>
      <c r="E31" s="30"/>
      <c r="F31" s="28"/>
      <c r="G31" s="28"/>
      <c r="H31" s="30"/>
      <c r="I31" s="30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</row>
    <row r="32" spans="1:121" ht="12.95" customHeight="1" x14ac:dyDescent="0.2">
      <c r="A32" s="21"/>
      <c r="B32" s="30"/>
      <c r="C32" s="30"/>
      <c r="D32" s="30"/>
      <c r="E32" s="30"/>
      <c r="F32" s="28"/>
      <c r="G32" s="28"/>
      <c r="H32" s="30"/>
      <c r="I32" s="30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</row>
    <row r="33" spans="1:37" ht="12.95" customHeight="1" x14ac:dyDescent="0.2">
      <c r="A33" s="21"/>
      <c r="B33" s="29"/>
      <c r="C33" s="29"/>
      <c r="D33" s="29"/>
      <c r="E33" s="29"/>
      <c r="F33" s="28"/>
      <c r="G33" s="28"/>
      <c r="H33" s="29"/>
      <c r="I33" s="29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</row>
    <row r="34" spans="1:37" ht="12.95" customHeight="1" x14ac:dyDescent="0.2">
      <c r="A34" s="21"/>
      <c r="B34" s="29"/>
      <c r="C34" s="29"/>
      <c r="D34" s="29"/>
      <c r="E34" s="29"/>
      <c r="F34" s="28"/>
      <c r="G34" s="28"/>
      <c r="H34" s="29"/>
      <c r="I34" s="29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</row>
    <row r="35" spans="1:37" ht="12.95" customHeight="1" x14ac:dyDescent="0.2">
      <c r="A35" s="21"/>
      <c r="B35" s="30"/>
      <c r="C35" s="30"/>
      <c r="D35" s="30"/>
      <c r="E35" s="30"/>
      <c r="F35" s="28"/>
      <c r="G35" s="28"/>
      <c r="H35" s="30"/>
      <c r="I35" s="30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</row>
    <row r="36" spans="1:37" ht="12.95" customHeight="1" x14ac:dyDescent="0.2">
      <c r="A36" s="21"/>
      <c r="B36" s="29"/>
      <c r="C36" s="29"/>
      <c r="D36" s="29"/>
      <c r="E36" s="29"/>
      <c r="F36" s="28"/>
      <c r="G36" s="28"/>
      <c r="H36" s="29"/>
      <c r="I36" s="29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</row>
    <row r="37" spans="1:37" ht="12.95" customHeight="1" x14ac:dyDescent="0.2">
      <c r="A37" s="21"/>
      <c r="B37" s="30"/>
      <c r="C37" s="30"/>
      <c r="D37" s="30"/>
      <c r="E37" s="30"/>
      <c r="F37" s="28"/>
      <c r="G37" s="28"/>
      <c r="H37" s="30"/>
      <c r="I37" s="30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</row>
    <row r="38" spans="1:37" ht="12.95" customHeight="1" x14ac:dyDescent="0.2">
      <c r="A38" s="21"/>
      <c r="B38" s="29"/>
      <c r="C38" s="29"/>
      <c r="D38" s="29"/>
      <c r="E38" s="29"/>
      <c r="F38" s="28"/>
      <c r="G38" s="28"/>
      <c r="H38" s="29"/>
      <c r="I38" s="29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</row>
    <row r="39" spans="1:37" ht="12.95" customHeight="1" x14ac:dyDescent="0.2">
      <c r="A39" s="21"/>
      <c r="B39" s="29"/>
      <c r="C39" s="29"/>
      <c r="D39" s="29"/>
      <c r="E39" s="29"/>
      <c r="F39" s="28"/>
      <c r="G39" s="28"/>
      <c r="H39" s="29"/>
      <c r="I39" s="29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</row>
    <row r="40" spans="1:37" ht="12.95" customHeight="1" x14ac:dyDescent="0.2">
      <c r="A40" s="21"/>
      <c r="B40" s="29"/>
      <c r="C40" s="29"/>
      <c r="D40" s="29"/>
      <c r="E40" s="29"/>
      <c r="F40" s="28"/>
      <c r="G40" s="28"/>
      <c r="H40" s="29"/>
      <c r="I40" s="29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</row>
    <row r="41" spans="1:37" ht="12.95" customHeight="1" x14ac:dyDescent="0.2">
      <c r="A41" s="21"/>
      <c r="B41" s="30"/>
      <c r="C41" s="30"/>
      <c r="D41" s="30"/>
      <c r="E41" s="30"/>
      <c r="F41" s="28"/>
      <c r="G41" s="28"/>
      <c r="H41" s="30"/>
      <c r="I41" s="30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</row>
    <row r="42" spans="1:37" ht="12.95" customHeight="1" x14ac:dyDescent="0.2">
      <c r="A42" s="21"/>
      <c r="B42" s="29"/>
      <c r="C42" s="29"/>
      <c r="D42" s="29"/>
      <c r="E42" s="29"/>
      <c r="F42" s="28"/>
      <c r="G42" s="28"/>
      <c r="H42" s="29"/>
      <c r="I42" s="29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</row>
    <row r="43" spans="1:37" ht="11.1" customHeight="1" x14ac:dyDescent="0.2">
      <c r="A43" s="21"/>
      <c r="B43" s="29"/>
      <c r="C43" s="29"/>
      <c r="D43" s="29"/>
      <c r="E43" s="29"/>
      <c r="F43" s="28"/>
      <c r="G43" s="28"/>
      <c r="H43" s="29"/>
      <c r="I43" s="29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</row>
    <row r="44" spans="1:37" ht="11.1" customHeight="1" x14ac:dyDescent="0.2">
      <c r="A44" s="21"/>
      <c r="B44" s="29"/>
      <c r="C44" s="29"/>
      <c r="D44" s="29"/>
      <c r="E44" s="29"/>
      <c r="F44" s="28"/>
      <c r="G44" s="28"/>
      <c r="H44" s="29"/>
      <c r="I44" s="29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</row>
    <row r="45" spans="1:37" ht="11.1" customHeight="1" x14ac:dyDescent="0.2">
      <c r="A45" s="21"/>
      <c r="B45" s="29"/>
      <c r="C45" s="29"/>
      <c r="D45" s="29"/>
      <c r="E45" s="29"/>
      <c r="F45" s="28"/>
      <c r="G45" s="28"/>
      <c r="H45" s="29"/>
      <c r="I45" s="29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</row>
    <row r="46" spans="1:37" ht="11.1" customHeight="1" x14ac:dyDescent="0.2">
      <c r="A46" s="21"/>
      <c r="B46" s="29"/>
      <c r="C46" s="29"/>
      <c r="D46" s="29"/>
      <c r="E46" s="29"/>
      <c r="F46" s="28"/>
      <c r="G46" s="28"/>
      <c r="H46" s="29"/>
      <c r="I46" s="29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</row>
    <row r="47" spans="1:37" ht="11.1" customHeight="1" x14ac:dyDescent="0.2">
      <c r="A47" s="21"/>
      <c r="B47" s="30"/>
      <c r="C47" s="30"/>
      <c r="D47" s="30"/>
      <c r="E47" s="30"/>
      <c r="F47" s="28"/>
      <c r="G47" s="28"/>
      <c r="H47" s="30"/>
      <c r="I47" s="30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</row>
    <row r="48" spans="1:37" ht="11.1" customHeight="1" x14ac:dyDescent="0.2">
      <c r="A48" s="21"/>
      <c r="B48" s="29"/>
      <c r="C48" s="29"/>
      <c r="D48" s="29"/>
      <c r="E48" s="29"/>
      <c r="F48" s="28"/>
      <c r="G48" s="28"/>
      <c r="H48" s="29"/>
      <c r="I48" s="29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</row>
    <row r="49" spans="1:37" ht="11.1" customHeight="1" x14ac:dyDescent="0.2">
      <c r="A49" s="24"/>
      <c r="B49" s="30"/>
      <c r="C49" s="30"/>
      <c r="D49" s="30"/>
      <c r="E49" s="30"/>
      <c r="F49" s="32"/>
      <c r="G49" s="32"/>
      <c r="H49" s="30"/>
      <c r="I49" s="30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</row>
    <row r="50" spans="1:37" ht="11.1" customHeight="1" x14ac:dyDescent="0.2">
      <c r="A50" s="24"/>
      <c r="B50" s="30"/>
      <c r="C50" s="30"/>
      <c r="D50" s="30"/>
      <c r="E50" s="30"/>
      <c r="F50" s="32"/>
      <c r="G50" s="32"/>
      <c r="H50" s="30"/>
      <c r="I50" s="30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</row>
    <row r="51" spans="1:37" ht="11.1" customHeight="1" x14ac:dyDescent="0.2">
      <c r="A51" s="21"/>
      <c r="B51" s="30"/>
      <c r="C51" s="30"/>
      <c r="D51" s="30"/>
      <c r="E51" s="30"/>
      <c r="F51" s="28"/>
      <c r="G51" s="28"/>
      <c r="H51" s="30"/>
      <c r="I51" s="30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</row>
    <row r="52" spans="1:37" ht="11.1" customHeight="1" x14ac:dyDescent="0.2">
      <c r="A52" s="21"/>
      <c r="B52" s="29"/>
      <c r="C52" s="29"/>
      <c r="D52" s="29"/>
      <c r="E52" s="29"/>
      <c r="F52" s="28"/>
      <c r="G52" s="28"/>
      <c r="H52" s="29"/>
      <c r="I52" s="29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</row>
    <row r="53" spans="1:37" ht="11.1" customHeight="1" x14ac:dyDescent="0.2">
      <c r="A53" s="21"/>
      <c r="B53" s="29"/>
      <c r="C53" s="29"/>
      <c r="D53" s="29"/>
      <c r="E53" s="29"/>
      <c r="F53" s="28"/>
      <c r="G53" s="28"/>
      <c r="H53" s="29"/>
      <c r="I53" s="29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</row>
    <row r="54" spans="1:37" ht="11.1" customHeight="1" x14ac:dyDescent="0.2">
      <c r="A54" s="21"/>
      <c r="B54" s="29"/>
      <c r="C54" s="29"/>
      <c r="D54" s="29"/>
      <c r="E54" s="29"/>
      <c r="F54" s="28"/>
      <c r="G54" s="28"/>
      <c r="H54" s="29"/>
      <c r="I54" s="29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</row>
    <row r="55" spans="1:37" ht="11.1" customHeight="1" x14ac:dyDescent="0.2">
      <c r="A55" s="21"/>
      <c r="B55" s="29"/>
      <c r="C55" s="29"/>
      <c r="D55" s="29"/>
      <c r="E55" s="29"/>
      <c r="F55" s="28"/>
      <c r="G55" s="28"/>
      <c r="H55" s="29"/>
      <c r="I55" s="29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</row>
    <row r="56" spans="1:37" ht="11.1" customHeight="1" x14ac:dyDescent="0.2">
      <c r="A56" s="445"/>
      <c r="B56" s="29"/>
      <c r="C56" s="29"/>
      <c r="D56" s="29"/>
      <c r="E56" s="29"/>
      <c r="F56" s="31"/>
      <c r="G56" s="31"/>
      <c r="H56" s="29"/>
      <c r="I56" s="29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</row>
    <row r="57" spans="1:37" ht="11.1" customHeight="1" x14ac:dyDescent="0.2">
      <c r="A57" s="20"/>
      <c r="B57" s="29"/>
      <c r="C57" s="29"/>
      <c r="D57" s="29"/>
      <c r="E57" s="29"/>
      <c r="F57" s="33"/>
      <c r="G57" s="33"/>
      <c r="H57" s="29"/>
      <c r="I57" s="29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  <c r="AF57" s="33"/>
      <c r="AG57" s="33"/>
      <c r="AH57" s="33"/>
      <c r="AI57" s="33"/>
      <c r="AJ57" s="33"/>
      <c r="AK57" s="33"/>
    </row>
    <row r="58" spans="1:37" ht="11.1" customHeight="1" x14ac:dyDescent="0.2">
      <c r="A58" s="445"/>
      <c r="B58" s="29"/>
      <c r="C58" s="29"/>
      <c r="D58" s="29"/>
      <c r="E58" s="29"/>
      <c r="F58" s="31"/>
      <c r="G58" s="31"/>
      <c r="H58" s="29"/>
      <c r="I58" s="29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</row>
    <row r="59" spans="1:37" ht="11.1" customHeight="1" x14ac:dyDescent="0.2">
      <c r="A59" s="21"/>
      <c r="B59" s="29"/>
      <c r="C59" s="29"/>
      <c r="D59" s="29"/>
      <c r="E59" s="29"/>
      <c r="F59" s="28"/>
      <c r="G59" s="28"/>
      <c r="H59" s="29"/>
      <c r="I59" s="29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</row>
    <row r="60" spans="1:37" ht="11.1" customHeight="1" x14ac:dyDescent="0.2">
      <c r="A60" s="446"/>
      <c r="B60" s="30"/>
      <c r="C60" s="30"/>
      <c r="D60" s="30"/>
      <c r="E60" s="30"/>
      <c r="F60" s="34"/>
      <c r="G60" s="34"/>
      <c r="H60" s="30"/>
      <c r="I60" s="30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34"/>
      <c r="AI60" s="34"/>
      <c r="AJ60" s="34"/>
      <c r="AK60" s="34"/>
    </row>
    <row r="61" spans="1:37" ht="11.1" customHeight="1" x14ac:dyDescent="0.2">
      <c r="A61" s="447"/>
      <c r="B61" s="29"/>
      <c r="C61" s="29"/>
      <c r="D61" s="29"/>
      <c r="E61" s="29"/>
      <c r="F61" s="35"/>
      <c r="G61" s="35"/>
      <c r="H61" s="29"/>
      <c r="I61" s="29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</row>
    <row r="62" spans="1:37" ht="11.1" customHeight="1" x14ac:dyDescent="0.2">
      <c r="A62" s="446"/>
      <c r="B62" s="30"/>
      <c r="C62" s="30"/>
      <c r="D62" s="30"/>
      <c r="E62" s="30"/>
      <c r="F62" s="34"/>
      <c r="G62" s="34"/>
      <c r="H62" s="30"/>
      <c r="I62" s="30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4"/>
      <c r="AC62" s="34"/>
      <c r="AD62" s="34"/>
      <c r="AE62" s="34"/>
      <c r="AF62" s="34"/>
      <c r="AG62" s="34"/>
      <c r="AH62" s="34"/>
      <c r="AI62" s="34"/>
      <c r="AJ62" s="34"/>
      <c r="AK62" s="34"/>
    </row>
    <row r="63" spans="1:37" ht="11.1" customHeight="1" x14ac:dyDescent="0.2">
      <c r="A63" s="446"/>
      <c r="B63" s="30"/>
      <c r="C63" s="30"/>
      <c r="D63" s="30"/>
      <c r="E63" s="30"/>
      <c r="F63" s="34"/>
      <c r="G63" s="34"/>
      <c r="H63" s="30"/>
      <c r="I63" s="30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4"/>
      <c r="AC63" s="34"/>
      <c r="AD63" s="34"/>
      <c r="AE63" s="34"/>
      <c r="AF63" s="34"/>
      <c r="AG63" s="34"/>
      <c r="AH63" s="34"/>
      <c r="AI63" s="34"/>
      <c r="AJ63" s="34"/>
      <c r="AK63" s="34"/>
    </row>
    <row r="64" spans="1:37" ht="11.1" customHeight="1" x14ac:dyDescent="0.2">
      <c r="A64" s="445"/>
      <c r="B64" s="30"/>
      <c r="C64" s="30"/>
      <c r="D64" s="30"/>
      <c r="E64" s="30"/>
      <c r="F64" s="31"/>
      <c r="G64" s="31"/>
      <c r="H64" s="30"/>
      <c r="I64" s="30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</row>
  </sheetData>
  <customSheetViews>
    <customSheetView guid="{B7440494-8EA9-4463-9947-E5D20E74049D}" showGridLines="0">
      <pane xSplit="1" ySplit="10" topLeftCell="AE11" activePane="bottomRight" state="frozen"/>
      <selection pane="bottomRight" activeCell="AO11" sqref="AO11"/>
      <colBreaks count="4" manualBreakCount="4">
        <brk id="9" max="21" man="1"/>
        <brk id="17" max="21" man="1"/>
        <brk id="25" max="21" man="1"/>
        <brk id="33" max="21" man="1"/>
      </colBreaks>
      <pageMargins left="0" right="0" top="0.55118110236220474" bottom="0" header="0" footer="0"/>
      <printOptions horizontalCentered="1"/>
      <pageSetup paperSize="9" scale="89" orientation="landscape" r:id="rId1"/>
      <headerFooter alignWithMargins="0">
        <oddHeader>&amp;R&amp;P/&amp;N</oddHeader>
      </headerFooter>
    </customSheetView>
    <customSheetView guid="{6D89F6EF-F5AD-478F-979A-5AF1BC78EF91}" showGridLines="0">
      <pane xSplit="2" ySplit="10" topLeftCell="C11" activePane="bottomRight" state="frozen"/>
      <selection pane="bottomRight" activeCell="C11" sqref="C11"/>
      <colBreaks count="3" manualBreakCount="3">
        <brk id="10" max="22" man="1"/>
        <brk id="26" max="22" man="1"/>
        <brk id="42" max="22" man="1"/>
      </colBreaks>
      <pageMargins left="0" right="0" top="0.55118110236220474" bottom="0" header="0" footer="0"/>
      <printOptions horizontalCentered="1"/>
      <pageSetup paperSize="9" fitToHeight="3" orientation="landscape" r:id="rId2"/>
      <headerFooter alignWithMargins="0"/>
    </customSheetView>
    <customSheetView guid="{A9134056-6B1C-4A42-AFE9-9712EF3EF3D4}" showPageBreaks="1" showGridLines="0" printArea="1">
      <pane xSplit="2" ySplit="10" topLeftCell="C11" activePane="bottomRight" state="frozen"/>
      <selection pane="bottomRight" activeCell="F26" sqref="F26"/>
      <colBreaks count="4" manualBreakCount="4">
        <brk id="10" max="22" man="1"/>
        <brk id="20" max="22" man="1"/>
        <brk id="26" max="22" man="1"/>
        <brk id="42" max="22" man="1"/>
      </colBreaks>
      <pageMargins left="0" right="0" top="0.55118110236220474" bottom="0" header="0" footer="0"/>
      <printOptions horizontalCentered="1"/>
      <pageSetup paperSize="9" fitToHeight="3" orientation="landscape" r:id="rId3"/>
      <headerFooter alignWithMargins="0"/>
    </customSheetView>
  </customSheetViews>
  <hyperlinks>
    <hyperlink ref="AS6" location="Índex!E9" display="Índex"/>
  </hyperlinks>
  <printOptions horizontalCentered="1" gridLinesSet="0"/>
  <pageMargins left="0" right="0" top="0.39370078740157483" bottom="0" header="0" footer="0"/>
  <pageSetup paperSize="9" scale="110" fitToHeight="3" orientation="landscape" r:id="rId4"/>
  <headerFooter alignWithMargins="0">
    <oddHeader>&amp;R&amp;P/&amp;N</oddHeader>
  </headerFooter>
  <colBreaks count="5" manualBreakCount="5">
    <brk id="9" max="21" man="1"/>
    <brk id="17" max="21" man="1"/>
    <brk id="25" max="21" man="1"/>
    <brk id="33" max="21" man="1"/>
    <brk id="41" max="21" man="1"/>
  </colBreaks>
  <drawing r:id="rId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5"/>
  <dimension ref="A1:DQ80"/>
  <sheetViews>
    <sheetView showGridLines="0" zoomScaleNormal="100" workbookViewId="0">
      <pane xSplit="1" ySplit="9" topLeftCell="AG10" activePane="bottomRight" state="frozen"/>
      <selection activeCell="E9" sqref="E9"/>
      <selection pane="topRight" activeCell="E9" sqref="E9"/>
      <selection pane="bottomLeft" activeCell="E9" sqref="E9"/>
      <selection pane="bottomRight" activeCell="AS6" sqref="AS6"/>
    </sheetView>
  </sheetViews>
  <sheetFormatPr defaultColWidth="12.5703125" defaultRowHeight="12.75" x14ac:dyDescent="0.2"/>
  <cols>
    <col min="1" max="1" width="51.5703125" style="188" bestFit="1" customWidth="1"/>
    <col min="2" max="33" width="10.7109375" style="26" customWidth="1"/>
    <col min="34" max="45" width="10.7109375" style="17" customWidth="1"/>
    <col min="46" max="16384" width="12.5703125" style="17"/>
  </cols>
  <sheetData>
    <row r="1" spans="1:121" s="82" customFormat="1" ht="15" customHeight="1" x14ac:dyDescent="0.2">
      <c r="A1" s="436"/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0"/>
      <c r="O1" s="80"/>
      <c r="P1" s="80"/>
      <c r="Q1" s="81"/>
      <c r="R1" s="81"/>
      <c r="S1" s="81"/>
      <c r="T1" s="81"/>
      <c r="U1" s="81"/>
      <c r="V1" s="81"/>
      <c r="W1" s="81"/>
      <c r="X1" s="81"/>
      <c r="Y1" s="81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  <c r="AK1" s="80"/>
      <c r="AL1" s="80"/>
      <c r="AM1" s="80"/>
      <c r="AN1" s="80"/>
      <c r="AO1" s="80"/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  <c r="BM1" s="80"/>
      <c r="BN1" s="80"/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  <c r="CA1" s="80"/>
      <c r="CB1" s="80"/>
      <c r="CC1" s="80"/>
      <c r="CD1" s="80"/>
      <c r="CE1" s="80"/>
      <c r="CF1" s="80"/>
      <c r="CG1" s="80"/>
      <c r="CH1" s="80"/>
      <c r="CI1" s="80"/>
      <c r="CJ1" s="80"/>
      <c r="CK1" s="80"/>
      <c r="CL1" s="80"/>
      <c r="CM1" s="80"/>
      <c r="CN1" s="80"/>
      <c r="CO1" s="80"/>
      <c r="CP1" s="80"/>
      <c r="CQ1" s="80"/>
      <c r="CR1" s="80"/>
      <c r="CS1" s="80"/>
      <c r="CT1" s="80"/>
      <c r="CU1" s="80"/>
      <c r="CV1" s="80"/>
      <c r="CW1" s="80"/>
      <c r="CX1" s="80"/>
      <c r="CY1" s="80"/>
      <c r="CZ1" s="80"/>
      <c r="DA1" s="80"/>
      <c r="DB1" s="80"/>
      <c r="DC1" s="80"/>
      <c r="DD1" s="80"/>
      <c r="DE1" s="80"/>
      <c r="DF1" s="80"/>
      <c r="DG1" s="80"/>
      <c r="DH1" s="80"/>
      <c r="DI1" s="80"/>
      <c r="DJ1" s="80"/>
      <c r="DK1" s="80"/>
    </row>
    <row r="2" spans="1:121" s="82" customFormat="1" ht="15" customHeight="1" x14ac:dyDescent="0.2">
      <c r="A2" s="449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3"/>
      <c r="AD2" s="81"/>
      <c r="AE2" s="81"/>
      <c r="AF2" s="83"/>
      <c r="AG2" s="81"/>
      <c r="AH2" s="81"/>
      <c r="AI2" s="81"/>
      <c r="AJ2" s="81"/>
      <c r="AK2" s="81"/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81"/>
      <c r="AY2" s="81"/>
      <c r="AZ2" s="81"/>
      <c r="BA2" s="81"/>
      <c r="BB2" s="81"/>
      <c r="BC2" s="81"/>
      <c r="BD2" s="81"/>
      <c r="BE2" s="81"/>
      <c r="BF2" s="81"/>
      <c r="BG2" s="81"/>
      <c r="BH2" s="81"/>
      <c r="BI2" s="81"/>
      <c r="BJ2" s="81"/>
      <c r="BK2" s="81"/>
      <c r="BL2" s="81"/>
      <c r="BM2" s="81"/>
      <c r="BN2" s="81"/>
      <c r="BO2" s="81"/>
      <c r="BP2" s="81"/>
      <c r="BQ2" s="81"/>
      <c r="BR2" s="81"/>
      <c r="BS2" s="81"/>
      <c r="BT2" s="81"/>
      <c r="BU2" s="81"/>
      <c r="BV2" s="81"/>
      <c r="BW2" s="81"/>
      <c r="BX2" s="81"/>
      <c r="BY2" s="81"/>
      <c r="BZ2" s="81"/>
      <c r="CA2" s="81"/>
      <c r="CB2" s="81"/>
      <c r="CC2" s="81"/>
      <c r="CD2" s="81"/>
      <c r="CE2" s="81"/>
      <c r="CF2" s="81"/>
      <c r="CG2" s="81"/>
      <c r="CH2" s="81"/>
      <c r="CI2" s="81"/>
      <c r="CJ2" s="81"/>
      <c r="CK2" s="81"/>
      <c r="CL2" s="81"/>
      <c r="CM2" s="81"/>
      <c r="CN2" s="81"/>
      <c r="CO2" s="81"/>
      <c r="CP2" s="81"/>
      <c r="CQ2" s="81"/>
      <c r="CR2" s="81"/>
      <c r="CS2" s="81"/>
      <c r="CT2" s="81"/>
      <c r="CU2" s="81"/>
      <c r="CV2" s="81"/>
      <c r="CW2" s="81"/>
      <c r="CX2" s="81"/>
      <c r="CY2" s="81"/>
      <c r="CZ2" s="81"/>
      <c r="DA2" s="81"/>
      <c r="DB2" s="81"/>
      <c r="DC2" s="81"/>
      <c r="DD2" s="81"/>
      <c r="DE2" s="81"/>
      <c r="DF2" s="81"/>
      <c r="DG2" s="81"/>
      <c r="DH2" s="81"/>
      <c r="DI2" s="81"/>
      <c r="DJ2" s="81"/>
      <c r="DK2" s="81"/>
    </row>
    <row r="3" spans="1:121" s="82" customFormat="1" ht="15" customHeight="1" x14ac:dyDescent="0.2">
      <c r="A3" s="450" t="s">
        <v>1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  <c r="AG3" s="84"/>
      <c r="AH3" s="84"/>
      <c r="AI3" s="84"/>
      <c r="AJ3" s="84"/>
      <c r="AK3" s="84"/>
      <c r="AL3" s="84"/>
      <c r="AM3" s="84"/>
      <c r="AN3" s="84"/>
      <c r="AO3" s="84"/>
      <c r="AP3" s="84"/>
      <c r="AQ3" s="84"/>
      <c r="AR3" s="84"/>
      <c r="AS3" s="84"/>
      <c r="AT3" s="84"/>
      <c r="AU3" s="84"/>
      <c r="AV3" s="84"/>
      <c r="AW3" s="84"/>
      <c r="AX3" s="84"/>
      <c r="AY3" s="84"/>
      <c r="AZ3" s="84"/>
      <c r="BA3" s="84"/>
      <c r="BB3" s="84"/>
      <c r="BC3" s="84"/>
      <c r="BD3" s="84"/>
      <c r="BE3" s="84"/>
      <c r="BF3" s="84"/>
      <c r="BG3" s="84"/>
      <c r="BH3" s="84"/>
      <c r="BI3" s="84"/>
      <c r="BJ3" s="84"/>
      <c r="BK3" s="84"/>
      <c r="BL3" s="84"/>
      <c r="BM3" s="84"/>
      <c r="BN3" s="84"/>
      <c r="BO3" s="84"/>
      <c r="BP3" s="84"/>
      <c r="BQ3" s="84"/>
      <c r="BR3" s="84"/>
      <c r="BS3" s="84"/>
      <c r="BT3" s="84"/>
      <c r="BU3" s="84"/>
      <c r="BV3" s="84"/>
      <c r="BW3" s="84"/>
      <c r="BX3" s="84"/>
      <c r="BY3" s="84"/>
      <c r="BZ3" s="84"/>
      <c r="CA3" s="84"/>
      <c r="CB3" s="84"/>
      <c r="CC3" s="84"/>
      <c r="CD3" s="84"/>
      <c r="CE3" s="84"/>
      <c r="CF3" s="84"/>
      <c r="CG3" s="84"/>
      <c r="CH3" s="84"/>
      <c r="CI3" s="84"/>
      <c r="CJ3" s="84"/>
      <c r="CK3" s="84"/>
      <c r="CL3" s="84"/>
      <c r="CM3" s="84"/>
      <c r="CN3" s="84"/>
      <c r="CO3" s="84"/>
      <c r="CP3" s="84"/>
      <c r="CQ3" s="84"/>
      <c r="CR3" s="84"/>
      <c r="CS3" s="84"/>
      <c r="CT3" s="84"/>
      <c r="CU3" s="84"/>
      <c r="CV3" s="84"/>
      <c r="CW3" s="84"/>
      <c r="CX3" s="84"/>
      <c r="CY3" s="84"/>
      <c r="CZ3" s="84"/>
      <c r="DA3" s="84"/>
      <c r="DB3" s="84"/>
      <c r="DC3" s="84"/>
      <c r="DD3" s="84"/>
      <c r="DE3" s="84"/>
      <c r="DF3" s="84"/>
      <c r="DG3" s="84"/>
      <c r="DH3" s="84"/>
      <c r="DI3" s="84"/>
      <c r="DJ3" s="84"/>
      <c r="DK3" s="84"/>
    </row>
    <row r="4" spans="1:121" s="82" customFormat="1" ht="15" customHeight="1" x14ac:dyDescent="0.25">
      <c r="A4" s="451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5"/>
      <c r="O4" s="85"/>
      <c r="P4" s="85"/>
      <c r="Q4" s="86"/>
      <c r="R4" s="86"/>
      <c r="S4" s="86"/>
      <c r="T4" s="86"/>
      <c r="U4" s="86"/>
      <c r="V4" s="86"/>
      <c r="W4" s="86"/>
      <c r="X4" s="86"/>
      <c r="Y4" s="86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  <c r="BM4" s="85"/>
      <c r="BN4" s="85"/>
      <c r="BO4" s="85"/>
      <c r="BP4" s="85"/>
      <c r="BQ4" s="85"/>
      <c r="BR4" s="85"/>
      <c r="BS4" s="85"/>
      <c r="BT4" s="85"/>
      <c r="BU4" s="85"/>
      <c r="BV4" s="85"/>
      <c r="BW4" s="85"/>
      <c r="BX4" s="85"/>
      <c r="BY4" s="85"/>
      <c r="BZ4" s="85"/>
      <c r="CA4" s="85"/>
      <c r="CB4" s="85"/>
      <c r="CC4" s="85"/>
      <c r="CD4" s="85"/>
      <c r="CE4" s="85"/>
      <c r="CF4" s="85"/>
      <c r="CG4" s="85"/>
      <c r="CH4" s="85"/>
      <c r="CI4" s="85"/>
      <c r="CJ4" s="85"/>
      <c r="CK4" s="85"/>
      <c r="CL4" s="85"/>
      <c r="CM4" s="85"/>
      <c r="CN4" s="85"/>
      <c r="CO4" s="85"/>
      <c r="CP4" s="85"/>
      <c r="CQ4" s="85"/>
      <c r="CR4" s="85"/>
      <c r="CS4" s="85"/>
      <c r="CU4" s="85"/>
      <c r="CV4" s="85"/>
      <c r="CW4" s="114"/>
      <c r="CX4" s="85"/>
      <c r="CY4" s="85"/>
      <c r="CZ4" s="114"/>
      <c r="DA4" s="85"/>
      <c r="DB4" s="85"/>
      <c r="DD4" s="85"/>
      <c r="DE4" s="85"/>
      <c r="DG4" s="85"/>
      <c r="DH4" s="130"/>
      <c r="DJ4" s="85"/>
      <c r="DN4" s="130"/>
    </row>
    <row r="5" spans="1:121" s="178" customFormat="1" ht="17.100000000000001" customHeight="1" thickBot="1" x14ac:dyDescent="0.25">
      <c r="A5" s="190" t="s">
        <v>457</v>
      </c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180"/>
      <c r="Q5" s="180"/>
      <c r="R5" s="180"/>
      <c r="S5" s="180"/>
      <c r="T5" s="180"/>
      <c r="U5" s="180"/>
      <c r="V5" s="180"/>
      <c r="W5" s="180"/>
      <c r="X5" s="180"/>
      <c r="Y5" s="180"/>
      <c r="Z5" s="180"/>
      <c r="AA5" s="180"/>
      <c r="AB5" s="180"/>
      <c r="AC5" s="180"/>
      <c r="AD5" s="180"/>
      <c r="AE5" s="180"/>
      <c r="AF5" s="180"/>
      <c r="AG5" s="180"/>
      <c r="AH5" s="180"/>
      <c r="AI5" s="180"/>
      <c r="AJ5" s="180"/>
      <c r="AK5" s="180"/>
      <c r="AL5" s="181"/>
      <c r="AM5" s="181"/>
      <c r="AN5" s="181"/>
      <c r="AO5" s="181"/>
      <c r="AP5" s="181"/>
      <c r="AQ5" s="181"/>
      <c r="AR5" s="181"/>
      <c r="AS5" s="181"/>
    </row>
    <row r="6" spans="1:121" s="82" customFormat="1" ht="15" customHeight="1" thickTop="1" x14ac:dyDescent="0.2">
      <c r="A6" s="436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0"/>
      <c r="O6" s="80"/>
      <c r="P6" s="80"/>
      <c r="Q6" s="81"/>
      <c r="R6" s="81"/>
      <c r="S6" s="81"/>
      <c r="T6" s="81"/>
      <c r="U6" s="81"/>
      <c r="V6" s="81"/>
      <c r="W6" s="81"/>
      <c r="X6" s="81"/>
      <c r="Y6" s="81"/>
      <c r="Z6" s="80"/>
      <c r="AA6" s="80"/>
      <c r="AB6" s="80"/>
      <c r="AC6" s="80"/>
      <c r="AD6" s="80"/>
      <c r="AE6" s="80"/>
      <c r="AF6" s="80"/>
      <c r="AG6" s="80"/>
      <c r="AH6" s="80"/>
      <c r="AI6" s="80"/>
      <c r="AJ6" s="80"/>
      <c r="AK6" s="80"/>
      <c r="AL6" s="80"/>
      <c r="AM6" s="80"/>
      <c r="AN6" s="80"/>
      <c r="AO6" s="403"/>
      <c r="AP6" s="400"/>
      <c r="AQ6" s="400"/>
      <c r="AR6" s="400"/>
      <c r="AS6" s="400" t="s">
        <v>662</v>
      </c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  <c r="BG6" s="80"/>
      <c r="BH6" s="80"/>
      <c r="BI6" s="80"/>
      <c r="BJ6" s="80"/>
      <c r="BK6" s="80"/>
      <c r="BL6" s="80"/>
      <c r="BM6" s="80"/>
      <c r="BN6" s="80"/>
      <c r="BO6" s="80"/>
      <c r="BP6" s="80"/>
      <c r="BQ6" s="80"/>
      <c r="BR6" s="80"/>
      <c r="BS6" s="80"/>
      <c r="BT6" s="80"/>
      <c r="BU6" s="80"/>
      <c r="BV6" s="80"/>
      <c r="BW6" s="80"/>
      <c r="BX6" s="80"/>
      <c r="BY6" s="80"/>
      <c r="BZ6" s="80"/>
      <c r="CA6" s="80"/>
      <c r="CB6" s="80"/>
      <c r="CC6" s="80"/>
      <c r="CD6" s="80"/>
      <c r="CE6" s="80"/>
      <c r="CF6" s="80"/>
      <c r="CG6" s="80"/>
      <c r="CH6" s="80"/>
      <c r="CI6" s="80"/>
      <c r="CJ6" s="80"/>
      <c r="CK6" s="80"/>
      <c r="CL6" s="80"/>
      <c r="CM6" s="80"/>
      <c r="CN6" s="80"/>
      <c r="CO6" s="80"/>
      <c r="CP6" s="80"/>
      <c r="CQ6" s="80"/>
      <c r="CR6" s="80"/>
      <c r="CS6" s="80"/>
      <c r="CT6" s="80"/>
      <c r="CU6" s="80"/>
      <c r="CV6" s="80"/>
      <c r="CW6" s="80"/>
      <c r="CX6" s="80"/>
      <c r="CY6" s="80"/>
      <c r="CZ6" s="80"/>
      <c r="DA6" s="80"/>
      <c r="DB6" s="80"/>
      <c r="DC6" s="80"/>
      <c r="DD6" s="80"/>
      <c r="DE6" s="80"/>
      <c r="DF6" s="80"/>
      <c r="DG6" s="80"/>
      <c r="DH6" s="80"/>
      <c r="DI6" s="80"/>
      <c r="DJ6" s="80"/>
      <c r="DK6" s="80"/>
    </row>
    <row r="7" spans="1:121" s="183" customFormat="1" ht="15" customHeight="1" x14ac:dyDescent="0.2">
      <c r="A7" s="182"/>
      <c r="B7" s="156" t="s">
        <v>35</v>
      </c>
      <c r="C7" s="156" t="s">
        <v>36</v>
      </c>
      <c r="D7" s="156" t="s">
        <v>321</v>
      </c>
      <c r="E7" s="156" t="s">
        <v>331</v>
      </c>
      <c r="F7" s="156" t="s">
        <v>37</v>
      </c>
      <c r="G7" s="156" t="s">
        <v>38</v>
      </c>
      <c r="H7" s="156" t="s">
        <v>322</v>
      </c>
      <c r="I7" s="156" t="s">
        <v>332</v>
      </c>
      <c r="J7" s="156" t="s">
        <v>39</v>
      </c>
      <c r="K7" s="156" t="s">
        <v>40</v>
      </c>
      <c r="L7" s="156" t="s">
        <v>323</v>
      </c>
      <c r="M7" s="156" t="s">
        <v>333</v>
      </c>
      <c r="N7" s="156" t="s">
        <v>41</v>
      </c>
      <c r="O7" s="156" t="s">
        <v>42</v>
      </c>
      <c r="P7" s="156" t="s">
        <v>324</v>
      </c>
      <c r="Q7" s="156" t="s">
        <v>334</v>
      </c>
      <c r="R7" s="156" t="s">
        <v>43</v>
      </c>
      <c r="S7" s="156" t="s">
        <v>44</v>
      </c>
      <c r="T7" s="156" t="s">
        <v>325</v>
      </c>
      <c r="U7" s="156" t="s">
        <v>335</v>
      </c>
      <c r="V7" s="156" t="s">
        <v>45</v>
      </c>
      <c r="W7" s="156" t="s">
        <v>46</v>
      </c>
      <c r="X7" s="156" t="s">
        <v>326</v>
      </c>
      <c r="Y7" s="156" t="s">
        <v>336</v>
      </c>
      <c r="Z7" s="156" t="s">
        <v>47</v>
      </c>
      <c r="AA7" s="156" t="s">
        <v>48</v>
      </c>
      <c r="AB7" s="156" t="s">
        <v>327</v>
      </c>
      <c r="AC7" s="156" t="s">
        <v>337</v>
      </c>
      <c r="AD7" s="156" t="s">
        <v>49</v>
      </c>
      <c r="AE7" s="156" t="s">
        <v>50</v>
      </c>
      <c r="AF7" s="156" t="s">
        <v>328</v>
      </c>
      <c r="AG7" s="156" t="s">
        <v>338</v>
      </c>
      <c r="AH7" s="156" t="s">
        <v>51</v>
      </c>
      <c r="AI7" s="156" t="s">
        <v>52</v>
      </c>
      <c r="AJ7" s="156" t="s">
        <v>329</v>
      </c>
      <c r="AK7" s="156" t="s">
        <v>339</v>
      </c>
      <c r="AL7" s="156" t="s">
        <v>53</v>
      </c>
      <c r="AM7" s="156" t="s">
        <v>54</v>
      </c>
      <c r="AN7" s="156" t="s">
        <v>330</v>
      </c>
      <c r="AO7" s="156" t="s">
        <v>340</v>
      </c>
      <c r="AP7" s="399" t="s">
        <v>71</v>
      </c>
      <c r="AQ7" s="591" t="s">
        <v>374</v>
      </c>
      <c r="AR7" s="664" t="s">
        <v>376</v>
      </c>
      <c r="AS7" s="664" t="s">
        <v>399</v>
      </c>
    </row>
    <row r="8" spans="1:121" s="149" customFormat="1" ht="9.9499999999999993" customHeight="1" x14ac:dyDescent="0.2">
      <c r="A8" s="184"/>
      <c r="B8" s="158"/>
      <c r="C8" s="158"/>
      <c r="D8" s="158"/>
      <c r="E8" s="158"/>
      <c r="F8" s="158"/>
      <c r="G8" s="158"/>
      <c r="H8" s="158"/>
      <c r="I8" s="158"/>
      <c r="J8" s="158"/>
      <c r="K8" s="158"/>
      <c r="L8" s="158"/>
      <c r="M8" s="158"/>
      <c r="N8" s="158"/>
      <c r="O8" s="158"/>
      <c r="P8" s="158"/>
      <c r="Q8" s="158"/>
      <c r="R8" s="158"/>
      <c r="S8" s="158"/>
      <c r="T8" s="158"/>
      <c r="U8" s="158"/>
      <c r="V8" s="158"/>
      <c r="W8" s="158"/>
      <c r="X8" s="158"/>
      <c r="Y8" s="158"/>
      <c r="Z8" s="158"/>
      <c r="AA8" s="158"/>
      <c r="AB8" s="158"/>
      <c r="AC8" s="158"/>
      <c r="AD8" s="158"/>
      <c r="AE8" s="158"/>
      <c r="AF8" s="158"/>
      <c r="AG8" s="158"/>
      <c r="AH8" s="158"/>
      <c r="AI8" s="158"/>
      <c r="AJ8" s="158"/>
      <c r="AK8" s="158"/>
      <c r="AL8" s="158"/>
      <c r="AM8" s="158"/>
      <c r="AN8" s="158"/>
      <c r="AO8" s="158"/>
      <c r="AP8" s="158"/>
      <c r="AQ8" s="158"/>
      <c r="AR8" s="158"/>
      <c r="AS8" s="158"/>
    </row>
    <row r="9" spans="1:121" s="164" customFormat="1" ht="5.0999999999999996" customHeight="1" x14ac:dyDescent="0.2">
      <c r="A9" s="159"/>
      <c r="B9" s="159"/>
      <c r="C9" s="159"/>
      <c r="D9" s="159"/>
      <c r="E9" s="159"/>
      <c r="F9" s="159"/>
      <c r="G9" s="159"/>
      <c r="H9" s="159"/>
      <c r="I9" s="159"/>
      <c r="J9" s="159"/>
      <c r="K9" s="159"/>
      <c r="L9" s="159"/>
      <c r="M9" s="159"/>
      <c r="N9" s="159"/>
      <c r="O9" s="159"/>
      <c r="P9" s="159"/>
      <c r="Q9" s="159"/>
      <c r="R9" s="159"/>
      <c r="S9" s="159"/>
      <c r="T9" s="159"/>
      <c r="U9" s="159"/>
      <c r="V9" s="159"/>
      <c r="W9" s="159"/>
      <c r="X9" s="159"/>
      <c r="Y9" s="159"/>
      <c r="Z9" s="159"/>
      <c r="AA9" s="159"/>
      <c r="AB9" s="159"/>
      <c r="AC9" s="159"/>
      <c r="AD9" s="159"/>
      <c r="AE9" s="159"/>
      <c r="AF9" s="159"/>
      <c r="AG9" s="159"/>
      <c r="AH9" s="159"/>
      <c r="AI9" s="159"/>
      <c r="AJ9" s="159"/>
      <c r="AK9" s="159"/>
      <c r="AL9" s="159"/>
      <c r="AM9" s="159"/>
      <c r="AN9" s="159"/>
      <c r="AO9" s="159"/>
      <c r="AP9" s="159"/>
      <c r="AQ9" s="159"/>
      <c r="AR9" s="159"/>
      <c r="AS9" s="159"/>
    </row>
    <row r="10" spans="1:121" s="164" customFormat="1" ht="15" customHeight="1" x14ac:dyDescent="0.2">
      <c r="A10" s="435" t="s">
        <v>625</v>
      </c>
      <c r="B10" s="160">
        <f t="shared" ref="B10:AK10" si="0">SUM(B11:B17)</f>
        <v>49607</v>
      </c>
      <c r="C10" s="160">
        <f t="shared" si="0"/>
        <v>49061</v>
      </c>
      <c r="D10" s="160">
        <f t="shared" si="0"/>
        <v>51380</v>
      </c>
      <c r="E10" s="160">
        <f t="shared" si="0"/>
        <v>58284</v>
      </c>
      <c r="F10" s="160">
        <f t="shared" si="0"/>
        <v>46225</v>
      </c>
      <c r="G10" s="160">
        <f t="shared" si="0"/>
        <v>56364</v>
      </c>
      <c r="H10" s="161">
        <f t="shared" si="0"/>
        <v>63413</v>
      </c>
      <c r="I10" s="161">
        <f t="shared" si="0"/>
        <v>60940</v>
      </c>
      <c r="J10" s="161">
        <f t="shared" si="0"/>
        <v>57298</v>
      </c>
      <c r="K10" s="161">
        <f t="shared" si="0"/>
        <v>66535</v>
      </c>
      <c r="L10" s="161">
        <f t="shared" si="0"/>
        <v>66049</v>
      </c>
      <c r="M10" s="161">
        <f t="shared" si="0"/>
        <v>61972</v>
      </c>
      <c r="N10" s="161">
        <f t="shared" si="0"/>
        <v>68257</v>
      </c>
      <c r="O10" s="161">
        <f t="shared" si="0"/>
        <v>69032</v>
      </c>
      <c r="P10" s="161">
        <f t="shared" si="0"/>
        <v>101587</v>
      </c>
      <c r="Q10" s="161">
        <f t="shared" si="0"/>
        <v>110783</v>
      </c>
      <c r="R10" s="161">
        <f t="shared" si="0"/>
        <v>107602</v>
      </c>
      <c r="S10" s="161">
        <f t="shared" si="0"/>
        <v>116046</v>
      </c>
      <c r="T10" s="161">
        <f t="shared" si="0"/>
        <v>122872</v>
      </c>
      <c r="U10" s="161">
        <f t="shared" si="0"/>
        <v>139239</v>
      </c>
      <c r="V10" s="161">
        <f t="shared" si="0"/>
        <v>159789</v>
      </c>
      <c r="W10" s="161">
        <f t="shared" si="0"/>
        <v>176716</v>
      </c>
      <c r="X10" s="161">
        <f t="shared" si="0"/>
        <v>143247</v>
      </c>
      <c r="Y10" s="161">
        <f t="shared" si="0"/>
        <v>131825</v>
      </c>
      <c r="Z10" s="161">
        <f t="shared" si="0"/>
        <v>124374</v>
      </c>
      <c r="AA10" s="161">
        <f t="shared" si="0"/>
        <v>132764</v>
      </c>
      <c r="AB10" s="161">
        <f t="shared" si="0"/>
        <v>120826.40511857002</v>
      </c>
      <c r="AC10" s="161">
        <f t="shared" si="0"/>
        <v>125280</v>
      </c>
      <c r="AD10" s="161">
        <f t="shared" si="0"/>
        <v>133951</v>
      </c>
      <c r="AE10" s="161">
        <f t="shared" si="0"/>
        <v>129211.83887052002</v>
      </c>
      <c r="AF10" s="161">
        <f t="shared" si="0"/>
        <v>119837</v>
      </c>
      <c r="AG10" s="161">
        <f t="shared" si="0"/>
        <v>122474</v>
      </c>
      <c r="AH10" s="161">
        <f t="shared" si="0"/>
        <v>119662</v>
      </c>
      <c r="AI10" s="161">
        <f t="shared" si="0"/>
        <v>118707</v>
      </c>
      <c r="AJ10" s="161">
        <f t="shared" si="0"/>
        <v>125850</v>
      </c>
      <c r="AK10" s="161">
        <f t="shared" si="0"/>
        <v>148914.55969636992</v>
      </c>
      <c r="AL10" s="161">
        <f t="shared" ref="AL10:AQ10" si="1">SUM(AL11:AL17)</f>
        <v>130371</v>
      </c>
      <c r="AM10" s="161">
        <f t="shared" si="1"/>
        <v>150449</v>
      </c>
      <c r="AN10" s="161">
        <f t="shared" si="1"/>
        <v>173505</v>
      </c>
      <c r="AO10" s="161">
        <f t="shared" si="1"/>
        <v>179262</v>
      </c>
      <c r="AP10" s="376">
        <f t="shared" si="1"/>
        <v>179075</v>
      </c>
      <c r="AQ10" s="376">
        <f t="shared" si="1"/>
        <v>195496.20786878007</v>
      </c>
      <c r="AR10" s="376">
        <f t="shared" ref="AR10:AS10" si="2">SUM(AR11:AR17)</f>
        <v>209662</v>
      </c>
      <c r="AS10" s="377">
        <f t="shared" si="2"/>
        <v>223809</v>
      </c>
      <c r="AT10" s="161"/>
      <c r="AU10" s="161"/>
      <c r="AV10" s="161"/>
      <c r="AW10" s="161"/>
      <c r="AX10" s="161"/>
      <c r="AY10" s="161"/>
      <c r="AZ10" s="161"/>
      <c r="BA10" s="161"/>
      <c r="BB10" s="161"/>
      <c r="BC10" s="161"/>
      <c r="BD10" s="161"/>
      <c r="BE10" s="161"/>
      <c r="BF10" s="161"/>
      <c r="BG10" s="161"/>
      <c r="BH10" s="161"/>
      <c r="BI10" s="161"/>
      <c r="BJ10" s="161"/>
      <c r="BK10" s="161"/>
      <c r="BL10" s="161"/>
      <c r="BM10" s="161"/>
      <c r="BN10" s="161"/>
      <c r="BO10" s="161"/>
      <c r="BP10" s="161"/>
      <c r="BQ10" s="161"/>
      <c r="BR10" s="161"/>
      <c r="BS10" s="161"/>
      <c r="BT10" s="161"/>
      <c r="BU10" s="161"/>
      <c r="BV10" s="161"/>
      <c r="BW10" s="161"/>
      <c r="BX10" s="161"/>
      <c r="BY10" s="161"/>
      <c r="BZ10" s="161"/>
      <c r="CA10" s="161"/>
      <c r="CB10" s="161"/>
      <c r="CC10" s="161"/>
      <c r="CD10" s="161"/>
      <c r="CE10" s="161"/>
      <c r="CF10" s="161"/>
      <c r="CG10" s="161"/>
      <c r="CH10" s="161"/>
      <c r="CI10" s="161"/>
      <c r="CJ10" s="161"/>
      <c r="CK10" s="161"/>
      <c r="CL10" s="161"/>
      <c r="CM10" s="161"/>
      <c r="CN10" s="161"/>
      <c r="CO10" s="161"/>
      <c r="CP10" s="161"/>
      <c r="CQ10" s="161"/>
      <c r="CR10" s="161"/>
      <c r="CS10" s="161"/>
      <c r="CT10" s="161"/>
      <c r="CU10" s="161"/>
      <c r="CV10" s="161"/>
      <c r="CW10" s="161"/>
      <c r="CX10" s="161"/>
      <c r="CY10" s="161"/>
      <c r="CZ10" s="161"/>
      <c r="DA10" s="161"/>
      <c r="DB10" s="161"/>
      <c r="DC10" s="161"/>
      <c r="DD10" s="161"/>
      <c r="DE10" s="161"/>
      <c r="DF10" s="161"/>
      <c r="DG10" s="161"/>
      <c r="DH10" s="161"/>
      <c r="DI10" s="161"/>
      <c r="DJ10" s="161"/>
      <c r="DK10" s="161"/>
      <c r="DL10" s="161"/>
      <c r="DM10" s="161"/>
      <c r="DN10" s="161"/>
      <c r="DO10" s="161"/>
      <c r="DP10" s="161"/>
      <c r="DQ10" s="163"/>
    </row>
    <row r="11" spans="1:121" s="164" customFormat="1" ht="15" customHeight="1" x14ac:dyDescent="0.2">
      <c r="A11" s="434" t="s">
        <v>622</v>
      </c>
      <c r="B11" s="165">
        <v>3351</v>
      </c>
      <c r="C11" s="165">
        <v>5152</v>
      </c>
      <c r="D11" s="165">
        <v>5360</v>
      </c>
      <c r="E11" s="165">
        <v>5264</v>
      </c>
      <c r="F11" s="165">
        <v>4907</v>
      </c>
      <c r="G11" s="165">
        <v>5048</v>
      </c>
      <c r="H11" s="166">
        <v>6123</v>
      </c>
      <c r="I11" s="166">
        <v>7969</v>
      </c>
      <c r="J11" s="166">
        <v>10479</v>
      </c>
      <c r="K11" s="166">
        <v>12174</v>
      </c>
      <c r="L11" s="166">
        <v>12710</v>
      </c>
      <c r="M11" s="166">
        <v>14375</v>
      </c>
      <c r="N11" s="166">
        <v>18766</v>
      </c>
      <c r="O11" s="166">
        <v>12856</v>
      </c>
      <c r="P11" s="166">
        <v>10423</v>
      </c>
      <c r="Q11" s="166">
        <v>8688</v>
      </c>
      <c r="R11" s="166">
        <v>7966</v>
      </c>
      <c r="S11" s="166">
        <v>7265</v>
      </c>
      <c r="T11" s="166">
        <v>7487</v>
      </c>
      <c r="U11" s="166">
        <v>7737</v>
      </c>
      <c r="V11" s="166">
        <v>7709</v>
      </c>
      <c r="W11" s="166">
        <v>7927</v>
      </c>
      <c r="X11" s="166">
        <v>8163</v>
      </c>
      <c r="Y11" s="166">
        <v>7206</v>
      </c>
      <c r="Z11" s="166">
        <v>6456</v>
      </c>
      <c r="AA11" s="166">
        <v>7010</v>
      </c>
      <c r="AB11" s="166">
        <v>7057.0777062899924</v>
      </c>
      <c r="AC11" s="166">
        <v>6936</v>
      </c>
      <c r="AD11" s="166">
        <v>11943</v>
      </c>
      <c r="AE11" s="166">
        <v>9649.1292318000142</v>
      </c>
      <c r="AF11" s="166">
        <v>6903</v>
      </c>
      <c r="AG11" s="166">
        <v>6869</v>
      </c>
      <c r="AH11" s="166">
        <v>7353</v>
      </c>
      <c r="AI11" s="166">
        <v>7755</v>
      </c>
      <c r="AJ11" s="166">
        <v>14017</v>
      </c>
      <c r="AK11" s="166">
        <v>19876.595986909932</v>
      </c>
      <c r="AL11" s="166">
        <v>21056</v>
      </c>
      <c r="AM11" s="166">
        <v>20411</v>
      </c>
      <c r="AN11" s="166">
        <v>24337</v>
      </c>
      <c r="AO11" s="166">
        <v>25448</v>
      </c>
      <c r="AP11" s="373">
        <v>25038</v>
      </c>
      <c r="AQ11" s="373">
        <v>28474.031494120041</v>
      </c>
      <c r="AR11" s="373">
        <v>27695</v>
      </c>
      <c r="AS11" s="374">
        <v>29035</v>
      </c>
      <c r="AT11" s="161"/>
      <c r="AU11" s="166"/>
      <c r="AV11" s="166"/>
      <c r="AW11" s="166"/>
      <c r="AX11" s="166"/>
      <c r="AY11" s="166"/>
      <c r="AZ11" s="166"/>
      <c r="BA11" s="166"/>
      <c r="BB11" s="166"/>
      <c r="BC11" s="166"/>
      <c r="BD11" s="166"/>
      <c r="BE11" s="166"/>
      <c r="BF11" s="166"/>
      <c r="BG11" s="166"/>
      <c r="BH11" s="166"/>
      <c r="BI11" s="166"/>
      <c r="BJ11" s="166"/>
      <c r="BK11" s="166"/>
      <c r="BL11" s="166"/>
      <c r="BM11" s="166"/>
      <c r="BN11" s="166"/>
      <c r="BO11" s="166"/>
      <c r="BP11" s="166"/>
      <c r="BQ11" s="166"/>
      <c r="BR11" s="166"/>
      <c r="BS11" s="166"/>
      <c r="BT11" s="166"/>
      <c r="BU11" s="166"/>
      <c r="BV11" s="166"/>
      <c r="BW11" s="166"/>
      <c r="BX11" s="166"/>
      <c r="BY11" s="166"/>
      <c r="BZ11" s="166"/>
      <c r="CA11" s="166"/>
      <c r="CB11" s="166"/>
      <c r="CC11" s="166"/>
      <c r="CD11" s="166"/>
      <c r="CE11" s="166"/>
      <c r="CF11" s="166"/>
      <c r="CG11" s="166"/>
      <c r="CH11" s="166"/>
      <c r="CI11" s="166"/>
      <c r="CJ11" s="166"/>
      <c r="CK11" s="166"/>
      <c r="CL11" s="166"/>
      <c r="CM11" s="166"/>
      <c r="CN11" s="166"/>
      <c r="CO11" s="166"/>
      <c r="CP11" s="166"/>
      <c r="CQ11" s="166"/>
      <c r="CR11" s="166"/>
      <c r="CS11" s="166"/>
      <c r="CT11" s="166"/>
      <c r="CU11" s="166"/>
      <c r="CV11" s="166"/>
      <c r="CW11" s="166"/>
      <c r="CX11" s="166"/>
      <c r="CY11" s="166"/>
      <c r="CZ11" s="166"/>
      <c r="DA11" s="166"/>
      <c r="DB11" s="166"/>
      <c r="DC11" s="166"/>
      <c r="DD11" s="166"/>
      <c r="DE11" s="166"/>
      <c r="DF11" s="166"/>
      <c r="DG11" s="166"/>
      <c r="DH11" s="166"/>
      <c r="DI11" s="166"/>
      <c r="DJ11" s="166"/>
      <c r="DK11" s="166"/>
      <c r="DL11" s="166"/>
      <c r="DM11" s="166"/>
      <c r="DN11" s="166"/>
      <c r="DO11" s="166"/>
      <c r="DP11" s="166"/>
      <c r="DQ11" s="167"/>
    </row>
    <row r="12" spans="1:121" s="164" customFormat="1" ht="15" customHeight="1" x14ac:dyDescent="0.2">
      <c r="A12" s="434" t="s">
        <v>623</v>
      </c>
      <c r="B12" s="165">
        <v>17168</v>
      </c>
      <c r="C12" s="165">
        <v>13967</v>
      </c>
      <c r="D12" s="165">
        <v>14473</v>
      </c>
      <c r="E12" s="165">
        <v>16023</v>
      </c>
      <c r="F12" s="165">
        <v>5517</v>
      </c>
      <c r="G12" s="165">
        <v>13714</v>
      </c>
      <c r="H12" s="166">
        <v>13199</v>
      </c>
      <c r="I12" s="166">
        <v>6411</v>
      </c>
      <c r="J12" s="166">
        <v>2819</v>
      </c>
      <c r="K12" s="166">
        <v>4032</v>
      </c>
      <c r="L12" s="166">
        <v>5080</v>
      </c>
      <c r="M12" s="166">
        <v>4336</v>
      </c>
      <c r="N12" s="166">
        <v>7570</v>
      </c>
      <c r="O12" s="166">
        <v>8958</v>
      </c>
      <c r="P12" s="166">
        <v>34269</v>
      </c>
      <c r="Q12" s="166">
        <v>34924</v>
      </c>
      <c r="R12" s="166">
        <v>33451</v>
      </c>
      <c r="S12" s="166">
        <v>35967</v>
      </c>
      <c r="T12" s="166">
        <v>43599</v>
      </c>
      <c r="U12" s="166">
        <v>53968</v>
      </c>
      <c r="V12" s="166">
        <v>66036</v>
      </c>
      <c r="W12" s="166">
        <v>89675</v>
      </c>
      <c r="X12" s="166">
        <v>61920</v>
      </c>
      <c r="Y12" s="166">
        <v>44720</v>
      </c>
      <c r="Z12" s="166">
        <v>30853</v>
      </c>
      <c r="AA12" s="166">
        <v>31136</v>
      </c>
      <c r="AB12" s="166">
        <v>23337.05136506999</v>
      </c>
      <c r="AC12" s="166">
        <v>25285</v>
      </c>
      <c r="AD12" s="166">
        <v>28101</v>
      </c>
      <c r="AE12" s="166">
        <v>25183.583854690009</v>
      </c>
      <c r="AF12" s="166">
        <v>23426</v>
      </c>
      <c r="AG12" s="166">
        <v>25116</v>
      </c>
      <c r="AH12" s="166">
        <v>25324</v>
      </c>
      <c r="AI12" s="166">
        <v>27710</v>
      </c>
      <c r="AJ12" s="166">
        <v>30297</v>
      </c>
      <c r="AK12" s="166">
        <v>43661.357577349998</v>
      </c>
      <c r="AL12" s="166">
        <v>19768</v>
      </c>
      <c r="AM12" s="166">
        <v>34530</v>
      </c>
      <c r="AN12" s="166">
        <v>47971</v>
      </c>
      <c r="AO12" s="166">
        <v>62245</v>
      </c>
      <c r="AP12" s="373">
        <v>78767</v>
      </c>
      <c r="AQ12" s="373">
        <v>93953.809629779993</v>
      </c>
      <c r="AR12" s="373">
        <v>111130</v>
      </c>
      <c r="AS12" s="374">
        <v>118608</v>
      </c>
      <c r="AT12" s="161"/>
      <c r="AU12" s="166"/>
      <c r="AV12" s="166"/>
      <c r="AW12" s="166"/>
      <c r="AX12" s="166"/>
      <c r="AY12" s="166"/>
      <c r="AZ12" s="166"/>
      <c r="BA12" s="166"/>
      <c r="BB12" s="166"/>
      <c r="BC12" s="166"/>
      <c r="BD12" s="166"/>
      <c r="BE12" s="166"/>
      <c r="BF12" s="166"/>
      <c r="BG12" s="166"/>
      <c r="BH12" s="166"/>
      <c r="BI12" s="166"/>
      <c r="BJ12" s="166"/>
      <c r="BK12" s="166"/>
      <c r="BL12" s="166"/>
      <c r="BM12" s="166"/>
      <c r="BN12" s="166"/>
      <c r="BO12" s="166"/>
      <c r="BP12" s="166"/>
      <c r="BQ12" s="166"/>
      <c r="BR12" s="166"/>
      <c r="BS12" s="166"/>
      <c r="BT12" s="166"/>
      <c r="BU12" s="166"/>
      <c r="BV12" s="166"/>
      <c r="BW12" s="166"/>
      <c r="BX12" s="166"/>
      <c r="BY12" s="166"/>
      <c r="BZ12" s="166"/>
      <c r="CA12" s="166"/>
      <c r="CB12" s="166"/>
      <c r="CC12" s="166"/>
      <c r="CD12" s="166"/>
      <c r="CE12" s="166"/>
      <c r="CF12" s="166"/>
      <c r="CG12" s="166"/>
      <c r="CH12" s="166"/>
      <c r="CI12" s="166"/>
      <c r="CJ12" s="166"/>
      <c r="CK12" s="166"/>
      <c r="CL12" s="166"/>
      <c r="CM12" s="166"/>
      <c r="CN12" s="166"/>
      <c r="CO12" s="166"/>
      <c r="CP12" s="166"/>
      <c r="CQ12" s="166"/>
      <c r="CR12" s="166"/>
      <c r="CS12" s="166"/>
      <c r="CT12" s="166"/>
      <c r="CU12" s="166"/>
      <c r="CV12" s="166"/>
      <c r="CW12" s="166"/>
      <c r="CX12" s="166"/>
      <c r="CY12" s="166"/>
      <c r="CZ12" s="166"/>
      <c r="DA12" s="166"/>
      <c r="DB12" s="166"/>
      <c r="DC12" s="166"/>
      <c r="DD12" s="166"/>
      <c r="DE12" s="166"/>
      <c r="DF12" s="166"/>
      <c r="DG12" s="166"/>
      <c r="DH12" s="166"/>
      <c r="DI12" s="166"/>
      <c r="DJ12" s="166"/>
      <c r="DK12" s="166"/>
      <c r="DL12" s="166"/>
      <c r="DM12" s="166"/>
      <c r="DN12" s="166"/>
      <c r="DO12" s="166"/>
      <c r="DP12" s="166"/>
      <c r="DQ12" s="167"/>
    </row>
    <row r="13" spans="1:121" s="164" customFormat="1" ht="15" customHeight="1" x14ac:dyDescent="0.2">
      <c r="A13" s="434" t="s">
        <v>624</v>
      </c>
      <c r="B13" s="165">
        <v>24763</v>
      </c>
      <c r="C13" s="165">
        <v>26217</v>
      </c>
      <c r="D13" s="165">
        <v>28265</v>
      </c>
      <c r="E13" s="165">
        <v>31894</v>
      </c>
      <c r="F13" s="165">
        <v>29757</v>
      </c>
      <c r="G13" s="165">
        <v>31452</v>
      </c>
      <c r="H13" s="166">
        <v>36149</v>
      </c>
      <c r="I13" s="166">
        <v>41139</v>
      </c>
      <c r="J13" s="166">
        <v>39241</v>
      </c>
      <c r="K13" s="166">
        <v>45959</v>
      </c>
      <c r="L13" s="166">
        <v>43678</v>
      </c>
      <c r="M13" s="166">
        <v>40121</v>
      </c>
      <c r="N13" s="166">
        <v>39456</v>
      </c>
      <c r="O13" s="166">
        <v>44792</v>
      </c>
      <c r="P13" s="166">
        <v>54400</v>
      </c>
      <c r="Q13" s="166">
        <v>65432</v>
      </c>
      <c r="R13" s="166">
        <v>64372</v>
      </c>
      <c r="S13" s="166">
        <v>71178</v>
      </c>
      <c r="T13" s="166">
        <v>69913</v>
      </c>
      <c r="U13" s="166">
        <v>75643</v>
      </c>
      <c r="V13" s="166">
        <v>84404</v>
      </c>
      <c r="W13" s="166">
        <v>77743</v>
      </c>
      <c r="X13" s="166">
        <v>72007</v>
      </c>
      <c r="Y13" s="166">
        <v>79014</v>
      </c>
      <c r="Z13" s="166">
        <v>86184</v>
      </c>
      <c r="AA13" s="166">
        <v>94326</v>
      </c>
      <c r="AB13" s="166">
        <v>89875.405108100036</v>
      </c>
      <c r="AC13" s="166">
        <v>92870</v>
      </c>
      <c r="AD13" s="166">
        <v>93558</v>
      </c>
      <c r="AE13" s="166">
        <v>93968.125784029995</v>
      </c>
      <c r="AF13" s="166">
        <v>89071</v>
      </c>
      <c r="AG13" s="166">
        <v>89627</v>
      </c>
      <c r="AH13" s="166">
        <v>84347</v>
      </c>
      <c r="AI13" s="166">
        <v>80561</v>
      </c>
      <c r="AJ13" s="166">
        <v>76752</v>
      </c>
      <c r="AK13" s="166">
        <v>81622.305946789988</v>
      </c>
      <c r="AL13" s="166">
        <v>86170</v>
      </c>
      <c r="AM13" s="166">
        <v>91193</v>
      </c>
      <c r="AN13" s="166">
        <v>96875</v>
      </c>
      <c r="AO13" s="166">
        <v>89256</v>
      </c>
      <c r="AP13" s="373">
        <v>72802</v>
      </c>
      <c r="AQ13" s="373">
        <v>70513.464454970017</v>
      </c>
      <c r="AR13" s="373">
        <v>67172</v>
      </c>
      <c r="AS13" s="374">
        <v>71102</v>
      </c>
      <c r="AT13" s="161"/>
      <c r="AU13" s="166"/>
      <c r="AV13" s="166"/>
      <c r="AW13" s="166"/>
      <c r="AX13" s="166"/>
      <c r="AY13" s="166"/>
      <c r="AZ13" s="166"/>
      <c r="BA13" s="166"/>
      <c r="BB13" s="166"/>
      <c r="BC13" s="166"/>
      <c r="BD13" s="166"/>
      <c r="BE13" s="166"/>
      <c r="BF13" s="166"/>
      <c r="BG13" s="166"/>
      <c r="BH13" s="166"/>
      <c r="BI13" s="166"/>
      <c r="BJ13" s="166"/>
      <c r="BK13" s="166"/>
      <c r="BL13" s="166"/>
      <c r="BM13" s="166"/>
      <c r="BN13" s="166"/>
      <c r="BO13" s="166"/>
      <c r="BP13" s="166"/>
      <c r="BQ13" s="166"/>
      <c r="BR13" s="166"/>
      <c r="BS13" s="166"/>
      <c r="BT13" s="166"/>
      <c r="BU13" s="166"/>
      <c r="BV13" s="166"/>
      <c r="BW13" s="166"/>
      <c r="BX13" s="166"/>
      <c r="BY13" s="166"/>
      <c r="BZ13" s="166"/>
      <c r="CA13" s="166"/>
      <c r="CB13" s="166"/>
      <c r="CC13" s="166"/>
      <c r="CD13" s="166"/>
      <c r="CE13" s="166"/>
      <c r="CF13" s="166"/>
      <c r="CG13" s="166"/>
      <c r="CH13" s="166"/>
      <c r="CI13" s="166"/>
      <c r="CJ13" s="166"/>
      <c r="CK13" s="166"/>
      <c r="CL13" s="166"/>
      <c r="CM13" s="166"/>
      <c r="CN13" s="166"/>
      <c r="CO13" s="166"/>
      <c r="CP13" s="166"/>
      <c r="CQ13" s="166"/>
      <c r="CR13" s="166"/>
      <c r="CS13" s="166"/>
      <c r="CT13" s="166"/>
      <c r="CU13" s="166"/>
      <c r="CV13" s="166"/>
      <c r="CW13" s="166"/>
      <c r="CX13" s="166"/>
      <c r="CY13" s="166"/>
      <c r="CZ13" s="166"/>
      <c r="DA13" s="166"/>
      <c r="DB13" s="166"/>
      <c r="DC13" s="166"/>
      <c r="DD13" s="166"/>
      <c r="DE13" s="166"/>
      <c r="DF13" s="166"/>
      <c r="DG13" s="166"/>
      <c r="DH13" s="166"/>
      <c r="DI13" s="166"/>
      <c r="DJ13" s="166"/>
      <c r="DK13" s="166"/>
      <c r="DL13" s="166"/>
      <c r="DM13" s="166"/>
      <c r="DN13" s="166"/>
      <c r="DO13" s="166"/>
      <c r="DP13" s="166"/>
      <c r="DQ13" s="167"/>
    </row>
    <row r="14" spans="1:121" s="164" customFormat="1" ht="15" customHeight="1" x14ac:dyDescent="0.2">
      <c r="A14" s="434" t="s">
        <v>626</v>
      </c>
      <c r="B14" s="165">
        <v>4020</v>
      </c>
      <c r="C14" s="165">
        <v>3551</v>
      </c>
      <c r="D14" s="165">
        <v>3107</v>
      </c>
      <c r="E14" s="165">
        <v>3121</v>
      </c>
      <c r="F14" s="165">
        <v>2998</v>
      </c>
      <c r="G14" s="165">
        <v>2540</v>
      </c>
      <c r="H14" s="166">
        <v>2887</v>
      </c>
      <c r="I14" s="166">
        <v>3564</v>
      </c>
      <c r="J14" s="166">
        <v>3474</v>
      </c>
      <c r="K14" s="166">
        <v>2981</v>
      </c>
      <c r="L14" s="166">
        <v>2782</v>
      </c>
      <c r="M14" s="166">
        <v>2813</v>
      </c>
      <c r="N14" s="166">
        <v>2001</v>
      </c>
      <c r="O14" s="166">
        <v>1548</v>
      </c>
      <c r="P14" s="166">
        <v>1587</v>
      </c>
      <c r="Q14" s="166">
        <v>1565</v>
      </c>
      <c r="R14" s="166">
        <v>1503</v>
      </c>
      <c r="S14" s="166">
        <v>1461</v>
      </c>
      <c r="T14" s="166">
        <v>1692</v>
      </c>
      <c r="U14" s="166">
        <v>1747</v>
      </c>
      <c r="V14" s="166">
        <v>1444</v>
      </c>
      <c r="W14" s="166">
        <v>1210</v>
      </c>
      <c r="X14" s="166">
        <v>1002</v>
      </c>
      <c r="Y14" s="166">
        <v>747</v>
      </c>
      <c r="Z14" s="166">
        <v>752</v>
      </c>
      <c r="AA14" s="166">
        <v>160</v>
      </c>
      <c r="AB14" s="166">
        <v>161.87093910999999</v>
      </c>
      <c r="AC14" s="166">
        <v>109</v>
      </c>
      <c r="AD14" s="166">
        <v>265</v>
      </c>
      <c r="AE14" s="166">
        <v>314</v>
      </c>
      <c r="AF14" s="166">
        <v>341</v>
      </c>
      <c r="AG14" s="166">
        <v>719</v>
      </c>
      <c r="AH14" s="166">
        <v>1130</v>
      </c>
      <c r="AI14" s="166">
        <v>1160</v>
      </c>
      <c r="AJ14" s="166">
        <v>1095</v>
      </c>
      <c r="AK14" s="166">
        <v>1472.3001853199999</v>
      </c>
      <c r="AL14" s="166">
        <v>1072</v>
      </c>
      <c r="AM14" s="166">
        <v>1984</v>
      </c>
      <c r="AN14" s="166">
        <v>1877</v>
      </c>
      <c r="AO14" s="166">
        <v>1883</v>
      </c>
      <c r="AP14" s="373">
        <v>517</v>
      </c>
      <c r="AQ14" s="373">
        <v>611.90228990999981</v>
      </c>
      <c r="AR14" s="373">
        <v>1054</v>
      </c>
      <c r="AS14" s="374">
        <v>1450</v>
      </c>
      <c r="AT14" s="161"/>
      <c r="AU14" s="166"/>
      <c r="AV14" s="166"/>
      <c r="AW14" s="166"/>
      <c r="AX14" s="166"/>
      <c r="AY14" s="166"/>
      <c r="AZ14" s="166"/>
      <c r="BA14" s="166"/>
      <c r="BB14" s="166"/>
      <c r="BC14" s="166"/>
      <c r="BD14" s="166"/>
      <c r="BE14" s="166"/>
      <c r="BF14" s="166"/>
      <c r="BG14" s="166"/>
      <c r="BH14" s="166"/>
      <c r="BI14" s="166"/>
      <c r="BJ14" s="166"/>
      <c r="BK14" s="166"/>
      <c r="BL14" s="166"/>
      <c r="BM14" s="166"/>
      <c r="BN14" s="166"/>
      <c r="BO14" s="166"/>
      <c r="BP14" s="166"/>
      <c r="BQ14" s="166"/>
      <c r="BR14" s="166"/>
      <c r="BS14" s="166"/>
      <c r="BT14" s="166"/>
      <c r="BU14" s="166"/>
      <c r="BV14" s="166"/>
      <c r="BW14" s="166"/>
      <c r="BX14" s="166"/>
      <c r="BY14" s="166"/>
      <c r="BZ14" s="166"/>
      <c r="CA14" s="166"/>
      <c r="CB14" s="166"/>
      <c r="CC14" s="166"/>
      <c r="CD14" s="166"/>
      <c r="CE14" s="166"/>
      <c r="CF14" s="166"/>
      <c r="CG14" s="166"/>
      <c r="CH14" s="166"/>
      <c r="CI14" s="166"/>
      <c r="CJ14" s="166"/>
      <c r="CK14" s="166"/>
      <c r="CL14" s="166"/>
      <c r="CM14" s="166"/>
      <c r="CN14" s="166"/>
      <c r="CO14" s="166"/>
      <c r="CP14" s="166"/>
      <c r="CQ14" s="166"/>
      <c r="CR14" s="166"/>
      <c r="CS14" s="166"/>
      <c r="CT14" s="166"/>
      <c r="CU14" s="166"/>
      <c r="CV14" s="166"/>
      <c r="CW14" s="166"/>
      <c r="CX14" s="166"/>
      <c r="CY14" s="166"/>
      <c r="CZ14" s="166"/>
      <c r="DA14" s="166"/>
      <c r="DB14" s="166"/>
      <c r="DC14" s="166"/>
      <c r="DD14" s="166"/>
      <c r="DE14" s="166"/>
      <c r="DF14" s="166"/>
      <c r="DG14" s="166"/>
      <c r="DH14" s="166"/>
      <c r="DI14" s="166"/>
      <c r="DJ14" s="166"/>
      <c r="DK14" s="166"/>
      <c r="DL14" s="166"/>
      <c r="DM14" s="166"/>
      <c r="DN14" s="166"/>
      <c r="DO14" s="166"/>
      <c r="DP14" s="166"/>
      <c r="DQ14" s="167"/>
    </row>
    <row r="15" spans="1:121" s="164" customFormat="1" ht="15" customHeight="1" x14ac:dyDescent="0.2">
      <c r="A15" s="434" t="s">
        <v>627</v>
      </c>
      <c r="B15" s="165">
        <v>202</v>
      </c>
      <c r="C15" s="165">
        <v>90</v>
      </c>
      <c r="D15" s="165">
        <v>88</v>
      </c>
      <c r="E15" s="165">
        <v>79</v>
      </c>
      <c r="F15" s="165">
        <v>80</v>
      </c>
      <c r="G15" s="165">
        <v>80</v>
      </c>
      <c r="H15" s="166">
        <v>81</v>
      </c>
      <c r="I15" s="166">
        <v>100</v>
      </c>
      <c r="J15" s="166">
        <v>99</v>
      </c>
      <c r="K15" s="166">
        <v>100</v>
      </c>
      <c r="L15" s="166">
        <v>95</v>
      </c>
      <c r="M15" s="166">
        <v>94</v>
      </c>
      <c r="N15" s="166">
        <v>92</v>
      </c>
      <c r="O15" s="166">
        <v>91</v>
      </c>
      <c r="P15" s="166">
        <v>89</v>
      </c>
      <c r="Q15" s="166">
        <v>88</v>
      </c>
      <c r="R15" s="166">
        <v>85</v>
      </c>
      <c r="S15" s="166">
        <v>84</v>
      </c>
      <c r="T15" s="166">
        <v>82</v>
      </c>
      <c r="U15" s="166">
        <v>81</v>
      </c>
      <c r="V15" s="166">
        <v>79</v>
      </c>
      <c r="W15" s="166">
        <v>78</v>
      </c>
      <c r="X15" s="166">
        <v>75</v>
      </c>
      <c r="Y15" s="166">
        <v>74</v>
      </c>
      <c r="Z15" s="166">
        <v>71</v>
      </c>
      <c r="AA15" s="166">
        <v>71</v>
      </c>
      <c r="AB15" s="166">
        <v>67</v>
      </c>
      <c r="AC15" s="166">
        <v>66</v>
      </c>
      <c r="AD15" s="166">
        <v>63</v>
      </c>
      <c r="AE15" s="166">
        <f>62</f>
        <v>62</v>
      </c>
      <c r="AF15" s="166">
        <f>60</f>
        <v>60</v>
      </c>
      <c r="AG15" s="166">
        <v>59</v>
      </c>
      <c r="AH15" s="166">
        <v>57</v>
      </c>
      <c r="AI15" s="166">
        <v>56</v>
      </c>
      <c r="AJ15" s="166">
        <v>53</v>
      </c>
      <c r="AK15" s="166">
        <v>52</v>
      </c>
      <c r="AL15" s="166">
        <v>52</v>
      </c>
      <c r="AM15" s="166">
        <v>51</v>
      </c>
      <c r="AN15" s="166">
        <v>50</v>
      </c>
      <c r="AO15" s="166">
        <v>49</v>
      </c>
      <c r="AP15" s="373">
        <v>48</v>
      </c>
      <c r="AQ15" s="373">
        <v>47</v>
      </c>
      <c r="AR15" s="373">
        <v>46</v>
      </c>
      <c r="AS15" s="374">
        <v>45</v>
      </c>
      <c r="AT15" s="161"/>
      <c r="AU15" s="166"/>
      <c r="AV15" s="166"/>
      <c r="AW15" s="166"/>
      <c r="AX15" s="166"/>
      <c r="AY15" s="166"/>
      <c r="AZ15" s="166"/>
      <c r="BA15" s="166"/>
      <c r="BB15" s="166"/>
      <c r="BC15" s="166"/>
      <c r="BD15" s="166"/>
      <c r="BE15" s="166"/>
      <c r="BF15" s="166"/>
      <c r="BG15" s="166"/>
      <c r="BH15" s="166"/>
      <c r="BI15" s="166"/>
      <c r="BJ15" s="166"/>
      <c r="BK15" s="166"/>
      <c r="BL15" s="166"/>
      <c r="BM15" s="166"/>
      <c r="BN15" s="166"/>
      <c r="BO15" s="166"/>
      <c r="BP15" s="166"/>
      <c r="BQ15" s="166"/>
      <c r="BR15" s="166"/>
      <c r="BS15" s="166"/>
      <c r="BT15" s="166"/>
      <c r="BU15" s="166"/>
      <c r="BV15" s="166"/>
      <c r="BW15" s="166"/>
      <c r="BX15" s="166"/>
      <c r="BY15" s="166"/>
      <c r="BZ15" s="166"/>
      <c r="CA15" s="166"/>
      <c r="CB15" s="166"/>
      <c r="CC15" s="166"/>
      <c r="CD15" s="166"/>
      <c r="CE15" s="166"/>
      <c r="CF15" s="166"/>
      <c r="CG15" s="166"/>
      <c r="CH15" s="166"/>
      <c r="CI15" s="166"/>
      <c r="CJ15" s="166"/>
      <c r="CK15" s="166"/>
      <c r="CL15" s="166"/>
      <c r="CM15" s="166"/>
      <c r="CN15" s="166"/>
      <c r="CO15" s="166"/>
      <c r="CP15" s="166"/>
      <c r="CQ15" s="166"/>
      <c r="CR15" s="166"/>
      <c r="CS15" s="166"/>
      <c r="CT15" s="166"/>
      <c r="CU15" s="166"/>
      <c r="CV15" s="166"/>
      <c r="CW15" s="166"/>
      <c r="CX15" s="166"/>
      <c r="CY15" s="166"/>
      <c r="CZ15" s="166"/>
      <c r="DA15" s="166"/>
      <c r="DB15" s="166"/>
      <c r="DC15" s="166"/>
      <c r="DD15" s="166"/>
      <c r="DE15" s="166"/>
      <c r="DF15" s="166"/>
      <c r="DG15" s="166"/>
      <c r="DH15" s="166"/>
      <c r="DI15" s="166"/>
      <c r="DJ15" s="166"/>
      <c r="DK15" s="166"/>
      <c r="DL15" s="166"/>
      <c r="DM15" s="166"/>
      <c r="DN15" s="166"/>
      <c r="DO15" s="166"/>
      <c r="DP15" s="166"/>
      <c r="DQ15" s="167"/>
    </row>
    <row r="16" spans="1:121" s="164" customFormat="1" ht="15" customHeight="1" x14ac:dyDescent="0.2">
      <c r="A16" s="434" t="s">
        <v>628</v>
      </c>
      <c r="B16" s="165">
        <v>101</v>
      </c>
      <c r="C16" s="165">
        <v>82</v>
      </c>
      <c r="D16" s="165">
        <v>85</v>
      </c>
      <c r="E16" s="165">
        <v>1901</v>
      </c>
      <c r="F16" s="165">
        <v>2964</v>
      </c>
      <c r="G16" s="165">
        <v>3528</v>
      </c>
      <c r="H16" s="166">
        <v>4972</v>
      </c>
      <c r="I16" s="166">
        <v>1755</v>
      </c>
      <c r="J16" s="166">
        <v>1178</v>
      </c>
      <c r="K16" s="166">
        <v>1276</v>
      </c>
      <c r="L16" s="166">
        <v>1692</v>
      </c>
      <c r="M16" s="166">
        <v>212</v>
      </c>
      <c r="N16" s="166">
        <v>351</v>
      </c>
      <c r="O16" s="166">
        <v>768</v>
      </c>
      <c r="P16" s="166">
        <v>804</v>
      </c>
      <c r="Q16" s="166">
        <v>71</v>
      </c>
      <c r="R16" s="166">
        <v>209</v>
      </c>
      <c r="S16" s="166">
        <v>76</v>
      </c>
      <c r="T16" s="166">
        <v>89</v>
      </c>
      <c r="U16" s="166">
        <v>50</v>
      </c>
      <c r="V16" s="166">
        <v>104</v>
      </c>
      <c r="W16" s="166">
        <v>67</v>
      </c>
      <c r="X16" s="166">
        <v>68</v>
      </c>
      <c r="Y16" s="166">
        <v>51</v>
      </c>
      <c r="Z16" s="166">
        <v>44</v>
      </c>
      <c r="AA16" s="166">
        <v>48</v>
      </c>
      <c r="AB16" s="166">
        <v>314</v>
      </c>
      <c r="AC16" s="166">
        <v>0</v>
      </c>
      <c r="AD16" s="166">
        <v>0</v>
      </c>
      <c r="AE16" s="166">
        <v>20</v>
      </c>
      <c r="AF16" s="166">
        <v>21</v>
      </c>
      <c r="AG16" s="166">
        <v>68</v>
      </c>
      <c r="AH16" s="166">
        <v>1438</v>
      </c>
      <c r="AI16" s="166">
        <v>1455</v>
      </c>
      <c r="AJ16" s="166">
        <v>3625</v>
      </c>
      <c r="AK16" s="166">
        <v>2221</v>
      </c>
      <c r="AL16" s="166">
        <v>2246</v>
      </c>
      <c r="AM16" s="166">
        <v>2267</v>
      </c>
      <c r="AN16" s="166">
        <v>2332</v>
      </c>
      <c r="AO16" s="166">
        <v>368</v>
      </c>
      <c r="AP16" s="373">
        <v>1890</v>
      </c>
      <c r="AQ16" s="373">
        <v>1882</v>
      </c>
      <c r="AR16" s="373">
        <v>2552</v>
      </c>
      <c r="AS16" s="374">
        <v>3556</v>
      </c>
      <c r="AT16" s="161"/>
      <c r="AU16" s="166"/>
      <c r="AV16" s="166"/>
      <c r="AW16" s="166"/>
      <c r="AX16" s="166"/>
      <c r="AY16" s="166"/>
      <c r="AZ16" s="166"/>
      <c r="BA16" s="166"/>
      <c r="BB16" s="166"/>
      <c r="BC16" s="166"/>
      <c r="BD16" s="166"/>
      <c r="BE16" s="166"/>
      <c r="BF16" s="166"/>
      <c r="BG16" s="166"/>
      <c r="BH16" s="166"/>
      <c r="BI16" s="166"/>
      <c r="BJ16" s="166"/>
      <c r="BK16" s="166"/>
      <c r="BL16" s="166"/>
      <c r="BM16" s="166"/>
      <c r="BN16" s="166"/>
      <c r="BO16" s="166"/>
      <c r="BP16" s="166"/>
      <c r="BQ16" s="166"/>
      <c r="BR16" s="166"/>
      <c r="BS16" s="166"/>
      <c r="BT16" s="166"/>
      <c r="BU16" s="166"/>
      <c r="BV16" s="166"/>
      <c r="BW16" s="166"/>
      <c r="BX16" s="166"/>
      <c r="BY16" s="166"/>
      <c r="BZ16" s="166"/>
      <c r="CA16" s="166"/>
      <c r="CB16" s="166"/>
      <c r="CC16" s="166"/>
      <c r="CD16" s="166"/>
      <c r="CE16" s="166"/>
      <c r="CF16" s="166"/>
      <c r="CG16" s="166"/>
      <c r="CH16" s="166"/>
      <c r="CI16" s="166"/>
      <c r="CJ16" s="166"/>
      <c r="CK16" s="166"/>
      <c r="CL16" s="166"/>
      <c r="CM16" s="166"/>
      <c r="CN16" s="166"/>
      <c r="CO16" s="166"/>
      <c r="CP16" s="166"/>
      <c r="CQ16" s="166"/>
      <c r="CR16" s="166"/>
      <c r="CS16" s="166"/>
      <c r="CT16" s="166"/>
      <c r="CU16" s="166"/>
      <c r="CV16" s="166"/>
      <c r="CW16" s="166"/>
      <c r="CX16" s="166"/>
      <c r="CY16" s="166"/>
      <c r="CZ16" s="166"/>
      <c r="DA16" s="166"/>
      <c r="DB16" s="166"/>
      <c r="DC16" s="166"/>
      <c r="DD16" s="166"/>
      <c r="DE16" s="166"/>
      <c r="DF16" s="166"/>
      <c r="DG16" s="166"/>
      <c r="DH16" s="166"/>
      <c r="DI16" s="166"/>
      <c r="DJ16" s="166"/>
      <c r="DK16" s="166"/>
      <c r="DL16" s="166"/>
      <c r="DM16" s="166"/>
      <c r="DN16" s="166"/>
      <c r="DO16" s="166"/>
      <c r="DP16" s="166"/>
      <c r="DQ16" s="167"/>
    </row>
    <row r="17" spans="1:121" s="164" customFormat="1" ht="15" customHeight="1" x14ac:dyDescent="0.2">
      <c r="A17" s="434" t="s">
        <v>91</v>
      </c>
      <c r="B17" s="165">
        <v>2</v>
      </c>
      <c r="C17" s="165">
        <v>2</v>
      </c>
      <c r="D17" s="165">
        <v>2</v>
      </c>
      <c r="E17" s="165">
        <v>2</v>
      </c>
      <c r="F17" s="165">
        <v>2</v>
      </c>
      <c r="G17" s="165">
        <v>2</v>
      </c>
      <c r="H17" s="166">
        <v>2</v>
      </c>
      <c r="I17" s="166">
        <v>2</v>
      </c>
      <c r="J17" s="166">
        <v>8</v>
      </c>
      <c r="K17" s="166">
        <v>13</v>
      </c>
      <c r="L17" s="166">
        <v>12</v>
      </c>
      <c r="M17" s="166">
        <v>21</v>
      </c>
      <c r="N17" s="166">
        <f>464-N15-N16</f>
        <v>21</v>
      </c>
      <c r="O17" s="166">
        <v>19</v>
      </c>
      <c r="P17" s="166">
        <v>15</v>
      </c>
      <c r="Q17" s="166">
        <v>15</v>
      </c>
      <c r="R17" s="166">
        <v>16</v>
      </c>
      <c r="S17" s="166">
        <v>15</v>
      </c>
      <c r="T17" s="166">
        <v>10</v>
      </c>
      <c r="U17" s="166">
        <v>13</v>
      </c>
      <c r="V17" s="166">
        <v>13</v>
      </c>
      <c r="W17" s="166">
        <v>16</v>
      </c>
      <c r="X17" s="166">
        <v>12</v>
      </c>
      <c r="Y17" s="166">
        <v>13</v>
      </c>
      <c r="Z17" s="166">
        <f>129-71-44</f>
        <v>14</v>
      </c>
      <c r="AA17" s="166">
        <v>13</v>
      </c>
      <c r="AB17" s="166">
        <v>14</v>
      </c>
      <c r="AC17" s="166">
        <v>14</v>
      </c>
      <c r="AD17" s="166">
        <v>21</v>
      </c>
      <c r="AE17" s="166">
        <v>15</v>
      </c>
      <c r="AF17" s="166">
        <v>15</v>
      </c>
      <c r="AG17" s="166">
        <v>16</v>
      </c>
      <c r="AH17" s="166">
        <v>13</v>
      </c>
      <c r="AI17" s="166">
        <v>10</v>
      </c>
      <c r="AJ17" s="166">
        <v>11</v>
      </c>
      <c r="AK17" s="166">
        <v>9</v>
      </c>
      <c r="AL17" s="166">
        <v>7</v>
      </c>
      <c r="AM17" s="166">
        <v>13</v>
      </c>
      <c r="AN17" s="166">
        <v>63</v>
      </c>
      <c r="AO17" s="166">
        <v>13</v>
      </c>
      <c r="AP17" s="373">
        <v>13</v>
      </c>
      <c r="AQ17" s="373">
        <v>14</v>
      </c>
      <c r="AR17" s="373">
        <f>14-1</f>
        <v>13</v>
      </c>
      <c r="AS17" s="374">
        <v>13</v>
      </c>
      <c r="AT17" s="161"/>
      <c r="AU17" s="166"/>
      <c r="AV17" s="166"/>
      <c r="AW17" s="166"/>
      <c r="AX17" s="166"/>
      <c r="AY17" s="166"/>
      <c r="AZ17" s="166"/>
      <c r="BA17" s="166"/>
      <c r="BB17" s="166"/>
      <c r="BC17" s="166"/>
      <c r="BD17" s="166"/>
      <c r="BE17" s="166"/>
      <c r="BF17" s="166"/>
      <c r="BG17" s="166"/>
      <c r="BH17" s="166"/>
      <c r="BI17" s="166"/>
      <c r="BJ17" s="166"/>
      <c r="BK17" s="166"/>
      <c r="BL17" s="166"/>
      <c r="BM17" s="166"/>
      <c r="BN17" s="166"/>
      <c r="BO17" s="166"/>
      <c r="BP17" s="166"/>
      <c r="BQ17" s="166"/>
      <c r="BR17" s="166"/>
      <c r="BS17" s="166"/>
      <c r="BT17" s="166"/>
      <c r="BU17" s="166"/>
      <c r="BV17" s="166"/>
      <c r="BW17" s="166"/>
      <c r="BX17" s="166"/>
      <c r="BY17" s="166"/>
      <c r="BZ17" s="166"/>
      <c r="CA17" s="166"/>
      <c r="CB17" s="166"/>
      <c r="CC17" s="166"/>
      <c r="CD17" s="166"/>
      <c r="CE17" s="166"/>
      <c r="CF17" s="166"/>
      <c r="CG17" s="166"/>
      <c r="CH17" s="166"/>
      <c r="CI17" s="166"/>
      <c r="CJ17" s="166"/>
      <c r="CK17" s="166"/>
      <c r="CL17" s="166"/>
      <c r="CM17" s="166"/>
      <c r="CN17" s="166"/>
      <c r="CO17" s="166"/>
      <c r="CP17" s="166"/>
      <c r="CQ17" s="166"/>
      <c r="CR17" s="166"/>
      <c r="CS17" s="166"/>
      <c r="CT17" s="166"/>
      <c r="CU17" s="166"/>
      <c r="CV17" s="166"/>
      <c r="CW17" s="166"/>
      <c r="CX17" s="166"/>
      <c r="CY17" s="166"/>
      <c r="CZ17" s="166"/>
      <c r="DA17" s="166"/>
      <c r="DB17" s="166"/>
      <c r="DC17" s="166"/>
      <c r="DD17" s="166"/>
      <c r="DE17" s="166"/>
      <c r="DF17" s="166"/>
      <c r="DG17" s="166"/>
      <c r="DH17" s="166"/>
      <c r="DI17" s="166"/>
      <c r="DJ17" s="166"/>
      <c r="DK17" s="166"/>
      <c r="DL17" s="166"/>
      <c r="DM17" s="166"/>
      <c r="DN17" s="166"/>
      <c r="DO17" s="166"/>
      <c r="DP17" s="166"/>
      <c r="DQ17" s="167"/>
    </row>
    <row r="18" spans="1:121" ht="5.0999999999999996" customHeight="1" x14ac:dyDescent="0.2">
      <c r="A18" s="434"/>
      <c r="B18" s="103"/>
      <c r="C18" s="103"/>
      <c r="D18" s="103"/>
      <c r="E18" s="103"/>
      <c r="F18" s="103"/>
      <c r="G18" s="103"/>
      <c r="H18" s="102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102"/>
      <c r="Y18" s="102"/>
      <c r="Z18" s="102"/>
      <c r="AA18" s="102"/>
      <c r="AB18" s="102"/>
      <c r="AC18" s="102"/>
      <c r="AD18" s="102"/>
      <c r="AE18" s="102"/>
      <c r="AF18" s="102"/>
      <c r="AG18" s="102"/>
      <c r="AH18" s="102"/>
      <c r="AI18" s="102"/>
      <c r="AJ18" s="102"/>
      <c r="AK18" s="102"/>
      <c r="AL18" s="102"/>
      <c r="AM18" s="102"/>
      <c r="AN18" s="102"/>
      <c r="AO18" s="102"/>
      <c r="AP18" s="55"/>
      <c r="AQ18" s="55"/>
      <c r="AR18" s="55"/>
      <c r="AS18" s="189"/>
      <c r="AT18" s="161"/>
    </row>
    <row r="19" spans="1:121" s="164" customFormat="1" ht="15" customHeight="1" x14ac:dyDescent="0.2">
      <c r="A19" s="435" t="s">
        <v>629</v>
      </c>
      <c r="B19" s="160">
        <f t="shared" ref="B19:AK19" si="3">SUM(B20:B26)</f>
        <v>14376</v>
      </c>
      <c r="C19" s="160">
        <f t="shared" si="3"/>
        <v>16982</v>
      </c>
      <c r="D19" s="160">
        <f t="shared" si="3"/>
        <v>17935</v>
      </c>
      <c r="E19" s="160">
        <f t="shared" si="3"/>
        <v>17535</v>
      </c>
      <c r="F19" s="160">
        <f t="shared" si="3"/>
        <v>18994</v>
      </c>
      <c r="G19" s="160">
        <f t="shared" si="3"/>
        <v>20040</v>
      </c>
      <c r="H19" s="161">
        <f t="shared" si="3"/>
        <v>25778</v>
      </c>
      <c r="I19" s="161">
        <f t="shared" si="3"/>
        <v>26280</v>
      </c>
      <c r="J19" s="161">
        <f t="shared" si="3"/>
        <v>26978</v>
      </c>
      <c r="K19" s="161">
        <f t="shared" si="3"/>
        <v>30742</v>
      </c>
      <c r="L19" s="161">
        <f t="shared" si="3"/>
        <v>28939</v>
      </c>
      <c r="M19" s="161">
        <f t="shared" si="3"/>
        <v>27308</v>
      </c>
      <c r="N19" s="161">
        <f t="shared" si="3"/>
        <v>32771</v>
      </c>
      <c r="O19" s="161">
        <f t="shared" si="3"/>
        <v>30317</v>
      </c>
      <c r="P19" s="161">
        <f t="shared" si="3"/>
        <v>34826</v>
      </c>
      <c r="Q19" s="161">
        <f t="shared" si="3"/>
        <v>40145</v>
      </c>
      <c r="R19" s="161">
        <f t="shared" si="3"/>
        <v>44442</v>
      </c>
      <c r="S19" s="161">
        <f t="shared" si="3"/>
        <v>45779</v>
      </c>
      <c r="T19" s="161">
        <f t="shared" si="3"/>
        <v>48784</v>
      </c>
      <c r="U19" s="161">
        <f t="shared" si="3"/>
        <v>50671</v>
      </c>
      <c r="V19" s="161">
        <f t="shared" si="3"/>
        <v>56717</v>
      </c>
      <c r="W19" s="161">
        <f t="shared" si="3"/>
        <v>61622</v>
      </c>
      <c r="X19" s="161">
        <f t="shared" si="3"/>
        <v>64189</v>
      </c>
      <c r="Y19" s="161">
        <f t="shared" si="3"/>
        <v>67169</v>
      </c>
      <c r="Z19" s="161">
        <f t="shared" si="3"/>
        <v>63630</v>
      </c>
      <c r="AA19" s="161">
        <f t="shared" si="3"/>
        <v>66643</v>
      </c>
      <c r="AB19" s="161">
        <f t="shared" si="3"/>
        <v>68574.856218130008</v>
      </c>
      <c r="AC19" s="161">
        <f t="shared" si="3"/>
        <v>70634</v>
      </c>
      <c r="AD19" s="161">
        <f t="shared" si="3"/>
        <v>76398</v>
      </c>
      <c r="AE19" s="161">
        <f t="shared" si="3"/>
        <v>78924</v>
      </c>
      <c r="AF19" s="161">
        <f t="shared" si="3"/>
        <v>80799</v>
      </c>
      <c r="AG19" s="161">
        <f t="shared" si="3"/>
        <v>81302</v>
      </c>
      <c r="AH19" s="161">
        <f t="shared" si="3"/>
        <v>82758</v>
      </c>
      <c r="AI19" s="161">
        <f t="shared" si="3"/>
        <v>83205</v>
      </c>
      <c r="AJ19" s="161">
        <f t="shared" si="3"/>
        <v>95931</v>
      </c>
      <c r="AK19" s="161">
        <f t="shared" si="3"/>
        <v>96387.417877130036</v>
      </c>
      <c r="AL19" s="161">
        <f t="shared" ref="AL19:AQ19" si="4">SUM(AL20:AL26)</f>
        <v>94102</v>
      </c>
      <c r="AM19" s="161">
        <f t="shared" si="4"/>
        <v>99864</v>
      </c>
      <c r="AN19" s="161">
        <f t="shared" si="4"/>
        <v>111216</v>
      </c>
      <c r="AO19" s="161">
        <f t="shared" si="4"/>
        <v>111990.01988340002</v>
      </c>
      <c r="AP19" s="376">
        <f t="shared" si="4"/>
        <v>114260</v>
      </c>
      <c r="AQ19" s="376">
        <f t="shared" si="4"/>
        <v>108980</v>
      </c>
      <c r="AR19" s="376">
        <f t="shared" ref="AR19:AS19" si="5">SUM(AR20:AR26)</f>
        <v>113122</v>
      </c>
      <c r="AS19" s="377">
        <f t="shared" si="5"/>
        <v>111477</v>
      </c>
      <c r="AT19" s="161"/>
      <c r="AU19" s="161"/>
      <c r="AV19" s="161"/>
      <c r="AW19" s="161"/>
      <c r="AX19" s="161"/>
      <c r="AY19" s="161"/>
      <c r="AZ19" s="161"/>
      <c r="BA19" s="161"/>
      <c r="BB19" s="161"/>
      <c r="BC19" s="161"/>
      <c r="BD19" s="161"/>
      <c r="BE19" s="161"/>
      <c r="BF19" s="161"/>
      <c r="BG19" s="161"/>
      <c r="BH19" s="161"/>
      <c r="BI19" s="161"/>
      <c r="BJ19" s="161"/>
      <c r="BK19" s="161"/>
      <c r="BL19" s="161"/>
      <c r="BM19" s="161"/>
      <c r="BN19" s="161"/>
      <c r="BO19" s="161"/>
      <c r="BP19" s="161"/>
      <c r="BQ19" s="161"/>
      <c r="BR19" s="161"/>
      <c r="BS19" s="161"/>
      <c r="BT19" s="161"/>
      <c r="BU19" s="161"/>
      <c r="BV19" s="161"/>
      <c r="BW19" s="161"/>
      <c r="BX19" s="161"/>
      <c r="BY19" s="161"/>
      <c r="BZ19" s="161"/>
      <c r="CA19" s="161"/>
      <c r="CB19" s="161"/>
      <c r="CC19" s="161"/>
      <c r="CD19" s="161"/>
      <c r="CE19" s="161"/>
      <c r="CF19" s="161"/>
      <c r="CG19" s="161"/>
      <c r="CH19" s="161"/>
      <c r="CI19" s="161"/>
      <c r="CJ19" s="161"/>
      <c r="CK19" s="161"/>
      <c r="CL19" s="161"/>
      <c r="CM19" s="161"/>
      <c r="CN19" s="161"/>
      <c r="CO19" s="161"/>
      <c r="CP19" s="161"/>
      <c r="CQ19" s="161"/>
      <c r="CR19" s="161"/>
      <c r="CS19" s="161"/>
      <c r="CT19" s="161"/>
      <c r="CU19" s="161"/>
      <c r="CV19" s="161"/>
      <c r="CW19" s="161"/>
      <c r="CX19" s="161"/>
      <c r="CY19" s="161"/>
      <c r="CZ19" s="161"/>
      <c r="DA19" s="161"/>
      <c r="DB19" s="161"/>
      <c r="DC19" s="161"/>
      <c r="DD19" s="161"/>
      <c r="DE19" s="161"/>
      <c r="DF19" s="161"/>
      <c r="DG19" s="161"/>
      <c r="DH19" s="161"/>
      <c r="DI19" s="161"/>
      <c r="DJ19" s="161"/>
      <c r="DK19" s="161"/>
      <c r="DL19" s="161"/>
      <c r="DM19" s="161"/>
      <c r="DN19" s="161"/>
      <c r="DO19" s="161"/>
      <c r="DP19" s="161"/>
      <c r="DQ19" s="163"/>
    </row>
    <row r="20" spans="1:121" s="164" customFormat="1" ht="15" customHeight="1" x14ac:dyDescent="0.2">
      <c r="A20" s="434" t="s">
        <v>630</v>
      </c>
      <c r="B20" s="165">
        <v>3114</v>
      </c>
      <c r="C20" s="165">
        <v>2955</v>
      </c>
      <c r="D20" s="165">
        <v>2581</v>
      </c>
      <c r="E20" s="165">
        <v>2484</v>
      </c>
      <c r="F20" s="165">
        <v>2402</v>
      </c>
      <c r="G20" s="165">
        <v>2085</v>
      </c>
      <c r="H20" s="166">
        <v>2064</v>
      </c>
      <c r="I20" s="166">
        <v>2032</v>
      </c>
      <c r="J20" s="166">
        <v>1886</v>
      </c>
      <c r="K20" s="166">
        <v>2065</v>
      </c>
      <c r="L20" s="166">
        <v>1801</v>
      </c>
      <c r="M20" s="166">
        <v>1097</v>
      </c>
      <c r="N20" s="166">
        <v>1083</v>
      </c>
      <c r="O20" s="166">
        <v>1028</v>
      </c>
      <c r="P20" s="166">
        <v>1477</v>
      </c>
      <c r="Q20" s="166">
        <v>1724</v>
      </c>
      <c r="R20" s="166">
        <v>1696</v>
      </c>
      <c r="S20" s="166">
        <v>1885</v>
      </c>
      <c r="T20" s="166">
        <v>1970</v>
      </c>
      <c r="U20" s="166">
        <v>1858</v>
      </c>
      <c r="V20" s="166">
        <v>2488</v>
      </c>
      <c r="W20" s="166">
        <v>2993</v>
      </c>
      <c r="X20" s="166">
        <v>2578</v>
      </c>
      <c r="Y20" s="166">
        <v>1635</v>
      </c>
      <c r="Z20" s="166">
        <v>1389</v>
      </c>
      <c r="AA20" s="166">
        <v>1402</v>
      </c>
      <c r="AB20" s="166">
        <v>1142</v>
      </c>
      <c r="AC20" s="166">
        <v>909</v>
      </c>
      <c r="AD20" s="166">
        <v>1004</v>
      </c>
      <c r="AE20" s="166">
        <v>871</v>
      </c>
      <c r="AF20" s="166">
        <v>832</v>
      </c>
      <c r="AG20" s="166">
        <v>803</v>
      </c>
      <c r="AH20" s="166">
        <v>777</v>
      </c>
      <c r="AI20" s="166">
        <v>587</v>
      </c>
      <c r="AJ20" s="166">
        <v>726</v>
      </c>
      <c r="AK20" s="166">
        <v>744</v>
      </c>
      <c r="AL20" s="166">
        <v>678</v>
      </c>
      <c r="AM20" s="166">
        <v>549</v>
      </c>
      <c r="AN20" s="166">
        <v>574</v>
      </c>
      <c r="AO20" s="166">
        <v>458</v>
      </c>
      <c r="AP20" s="373">
        <v>707</v>
      </c>
      <c r="AQ20" s="373">
        <v>681</v>
      </c>
      <c r="AR20" s="373">
        <v>546</v>
      </c>
      <c r="AS20" s="374">
        <v>567</v>
      </c>
      <c r="AT20" s="161"/>
      <c r="AU20" s="166"/>
      <c r="AV20" s="166"/>
      <c r="AW20" s="166"/>
      <c r="AX20" s="166"/>
      <c r="AY20" s="166"/>
      <c r="AZ20" s="166"/>
      <c r="BA20" s="166"/>
      <c r="BB20" s="166"/>
      <c r="BC20" s="166"/>
      <c r="BD20" s="166"/>
      <c r="BE20" s="166"/>
      <c r="BF20" s="166"/>
      <c r="BG20" s="166"/>
      <c r="BH20" s="166"/>
      <c r="BI20" s="166"/>
      <c r="BJ20" s="166"/>
      <c r="BK20" s="166"/>
      <c r="BL20" s="166"/>
      <c r="BM20" s="166"/>
      <c r="BN20" s="166"/>
      <c r="BO20" s="166"/>
      <c r="BP20" s="166"/>
      <c r="BQ20" s="166"/>
      <c r="BR20" s="166"/>
      <c r="BS20" s="166"/>
      <c r="BT20" s="166"/>
      <c r="BU20" s="166"/>
      <c r="BV20" s="166"/>
      <c r="BW20" s="166"/>
      <c r="BX20" s="166"/>
      <c r="BY20" s="166"/>
      <c r="BZ20" s="166"/>
      <c r="CA20" s="166"/>
      <c r="CB20" s="166"/>
      <c r="CC20" s="166"/>
      <c r="CD20" s="166"/>
      <c r="CE20" s="166"/>
      <c r="CF20" s="166"/>
      <c r="CG20" s="166"/>
      <c r="CH20" s="166"/>
      <c r="CI20" s="166"/>
      <c r="CJ20" s="166"/>
      <c r="CK20" s="166"/>
      <c r="CL20" s="166"/>
      <c r="CM20" s="166"/>
      <c r="CN20" s="166"/>
      <c r="CO20" s="166"/>
      <c r="CP20" s="166"/>
      <c r="CQ20" s="166"/>
      <c r="CR20" s="166"/>
      <c r="CS20" s="166"/>
      <c r="CT20" s="166"/>
      <c r="CU20" s="166"/>
      <c r="CV20" s="166"/>
      <c r="CW20" s="166"/>
      <c r="CX20" s="166"/>
      <c r="CY20" s="166"/>
      <c r="CZ20" s="166"/>
      <c r="DA20" s="166"/>
      <c r="DB20" s="166"/>
      <c r="DC20" s="166"/>
      <c r="DD20" s="166"/>
      <c r="DE20" s="166"/>
      <c r="DF20" s="166"/>
      <c r="DG20" s="166"/>
      <c r="DH20" s="166"/>
      <c r="DI20" s="166"/>
      <c r="DJ20" s="166"/>
      <c r="DK20" s="166"/>
      <c r="DL20" s="166"/>
      <c r="DM20" s="166"/>
      <c r="DN20" s="166"/>
      <c r="DO20" s="166"/>
      <c r="DP20" s="166"/>
      <c r="DQ20" s="167"/>
    </row>
    <row r="21" spans="1:121" s="164" customFormat="1" ht="15" customHeight="1" x14ac:dyDescent="0.2">
      <c r="A21" s="434" t="s">
        <v>92</v>
      </c>
      <c r="B21" s="165">
        <v>3371</v>
      </c>
      <c r="C21" s="165">
        <v>3214</v>
      </c>
      <c r="D21" s="165">
        <v>3318</v>
      </c>
      <c r="E21" s="165">
        <v>3529</v>
      </c>
      <c r="F21" s="165">
        <v>4023</v>
      </c>
      <c r="G21" s="165">
        <v>4669</v>
      </c>
      <c r="H21" s="166">
        <v>4056</v>
      </c>
      <c r="I21" s="166">
        <v>3363</v>
      </c>
      <c r="J21" s="166">
        <v>3155</v>
      </c>
      <c r="K21" s="166">
        <v>3988</v>
      </c>
      <c r="L21" s="166">
        <v>3819</v>
      </c>
      <c r="M21" s="166">
        <v>3295</v>
      </c>
      <c r="N21" s="166">
        <v>4332</v>
      </c>
      <c r="O21" s="166">
        <v>3774</v>
      </c>
      <c r="P21" s="166">
        <v>4118</v>
      </c>
      <c r="Q21" s="166">
        <v>4098</v>
      </c>
      <c r="R21" s="166">
        <v>4131</v>
      </c>
      <c r="S21" s="166">
        <v>4083</v>
      </c>
      <c r="T21" s="166">
        <v>4112</v>
      </c>
      <c r="U21" s="166">
        <v>4220</v>
      </c>
      <c r="V21" s="166">
        <v>4320</v>
      </c>
      <c r="W21" s="166">
        <v>5100</v>
      </c>
      <c r="X21" s="166">
        <v>6081</v>
      </c>
      <c r="Y21" s="166">
        <v>6007</v>
      </c>
      <c r="Z21" s="166">
        <v>5195</v>
      </c>
      <c r="AA21" s="166">
        <v>4487</v>
      </c>
      <c r="AB21" s="166">
        <v>4169</v>
      </c>
      <c r="AC21" s="166">
        <v>5576</v>
      </c>
      <c r="AD21" s="166">
        <v>5702</v>
      </c>
      <c r="AE21" s="166">
        <v>5942</v>
      </c>
      <c r="AF21" s="166">
        <v>5134</v>
      </c>
      <c r="AG21" s="166">
        <v>4666</v>
      </c>
      <c r="AH21" s="166">
        <v>4314</v>
      </c>
      <c r="AI21" s="166">
        <v>4643</v>
      </c>
      <c r="AJ21" s="166">
        <v>4021</v>
      </c>
      <c r="AK21" s="166">
        <v>9019.6373550200005</v>
      </c>
      <c r="AL21" s="166">
        <v>9044</v>
      </c>
      <c r="AM21" s="166">
        <v>8969</v>
      </c>
      <c r="AN21" s="166">
        <v>10441</v>
      </c>
      <c r="AO21" s="166">
        <v>10479</v>
      </c>
      <c r="AP21" s="373">
        <v>10176</v>
      </c>
      <c r="AQ21" s="373">
        <v>9808</v>
      </c>
      <c r="AR21" s="373">
        <v>11151</v>
      </c>
      <c r="AS21" s="374">
        <v>10782</v>
      </c>
      <c r="AT21" s="161"/>
      <c r="AU21" s="166"/>
      <c r="AV21" s="166"/>
      <c r="AW21" s="166"/>
      <c r="AX21" s="166"/>
      <c r="AY21" s="166"/>
      <c r="AZ21" s="166"/>
      <c r="BA21" s="166"/>
      <c r="BB21" s="166"/>
      <c r="BC21" s="166"/>
      <c r="BD21" s="166"/>
      <c r="BE21" s="166"/>
      <c r="BF21" s="166"/>
      <c r="BG21" s="166"/>
      <c r="BH21" s="166"/>
      <c r="BI21" s="166"/>
      <c r="BJ21" s="166"/>
      <c r="BK21" s="166"/>
      <c r="BL21" s="166"/>
      <c r="BM21" s="166"/>
      <c r="BN21" s="166"/>
      <c r="BO21" s="166"/>
      <c r="BP21" s="166"/>
      <c r="BQ21" s="166"/>
      <c r="BR21" s="166"/>
      <c r="BS21" s="166"/>
      <c r="BT21" s="166"/>
      <c r="BU21" s="166"/>
      <c r="BV21" s="166"/>
      <c r="BW21" s="166"/>
      <c r="BX21" s="166"/>
      <c r="BY21" s="166"/>
      <c r="BZ21" s="166"/>
      <c r="CA21" s="166"/>
      <c r="CB21" s="166"/>
      <c r="CC21" s="166"/>
      <c r="CD21" s="166"/>
      <c r="CE21" s="166"/>
      <c r="CF21" s="166"/>
      <c r="CG21" s="166"/>
      <c r="CH21" s="166"/>
      <c r="CI21" s="166"/>
      <c r="CJ21" s="166"/>
      <c r="CK21" s="166"/>
      <c r="CL21" s="166"/>
      <c r="CM21" s="166"/>
      <c r="CN21" s="166"/>
      <c r="CO21" s="166"/>
      <c r="CP21" s="166"/>
      <c r="CQ21" s="166"/>
      <c r="CR21" s="166"/>
      <c r="CS21" s="166"/>
      <c r="CT21" s="166"/>
      <c r="CU21" s="166"/>
      <c r="CV21" s="166"/>
      <c r="CW21" s="166"/>
      <c r="CX21" s="166"/>
      <c r="CY21" s="166"/>
      <c r="CZ21" s="166"/>
      <c r="DA21" s="166"/>
      <c r="DB21" s="166"/>
      <c r="DC21" s="166"/>
      <c r="DD21" s="166"/>
      <c r="DE21" s="166"/>
      <c r="DF21" s="166"/>
      <c r="DG21" s="166"/>
      <c r="DH21" s="166"/>
      <c r="DI21" s="166"/>
      <c r="DJ21" s="166"/>
      <c r="DK21" s="166"/>
      <c r="DL21" s="166"/>
      <c r="DM21" s="166"/>
      <c r="DN21" s="166"/>
      <c r="DO21" s="166"/>
      <c r="DP21" s="166"/>
      <c r="DQ21" s="167"/>
    </row>
    <row r="22" spans="1:121" s="164" customFormat="1" ht="15" customHeight="1" x14ac:dyDescent="0.2">
      <c r="A22" s="434" t="s">
        <v>93</v>
      </c>
      <c r="B22" s="165">
        <v>4164</v>
      </c>
      <c r="C22" s="165">
        <v>4512</v>
      </c>
      <c r="D22" s="165">
        <v>5643</v>
      </c>
      <c r="E22" s="165">
        <v>5752</v>
      </c>
      <c r="F22" s="165">
        <v>5351</v>
      </c>
      <c r="G22" s="165">
        <v>5095</v>
      </c>
      <c r="H22" s="166">
        <v>6988</v>
      </c>
      <c r="I22" s="166">
        <v>7236</v>
      </c>
      <c r="J22" s="166">
        <v>7614</v>
      </c>
      <c r="K22" s="166">
        <v>8547</v>
      </c>
      <c r="L22" s="166">
        <v>8357</v>
      </c>
      <c r="M22" s="166">
        <v>9034</v>
      </c>
      <c r="N22" s="166">
        <v>10592</v>
      </c>
      <c r="O22" s="166">
        <v>11701</v>
      </c>
      <c r="P22" s="166">
        <v>13713</v>
      </c>
      <c r="Q22" s="166">
        <v>16870</v>
      </c>
      <c r="R22" s="166">
        <v>18168</v>
      </c>
      <c r="S22" s="166">
        <v>21714</v>
      </c>
      <c r="T22" s="166">
        <v>22882</v>
      </c>
      <c r="U22" s="166">
        <v>23314</v>
      </c>
      <c r="V22" s="166">
        <v>25072</v>
      </c>
      <c r="W22" s="166">
        <v>27249</v>
      </c>
      <c r="X22" s="166">
        <v>27476</v>
      </c>
      <c r="Y22" s="166">
        <v>31282</v>
      </c>
      <c r="Z22" s="166">
        <v>30972</v>
      </c>
      <c r="AA22" s="166">
        <v>30790</v>
      </c>
      <c r="AB22" s="166">
        <v>32891</v>
      </c>
      <c r="AC22" s="166">
        <v>33139</v>
      </c>
      <c r="AD22" s="166">
        <v>33639</v>
      </c>
      <c r="AE22" s="166">
        <v>33437</v>
      </c>
      <c r="AF22" s="166">
        <v>34099</v>
      </c>
      <c r="AG22" s="166">
        <v>32993</v>
      </c>
      <c r="AH22" s="166">
        <v>33808</v>
      </c>
      <c r="AI22" s="166">
        <v>32986</v>
      </c>
      <c r="AJ22" s="166">
        <v>32582</v>
      </c>
      <c r="AK22" s="166">
        <v>33172.780522110035</v>
      </c>
      <c r="AL22" s="166">
        <v>36116</v>
      </c>
      <c r="AM22" s="166">
        <v>35498</v>
      </c>
      <c r="AN22" s="166">
        <v>42338</v>
      </c>
      <c r="AO22" s="166">
        <v>40783</v>
      </c>
      <c r="AP22" s="373">
        <v>41575</v>
      </c>
      <c r="AQ22" s="373">
        <v>40217</v>
      </c>
      <c r="AR22" s="373">
        <v>40174</v>
      </c>
      <c r="AS22" s="374">
        <v>37182</v>
      </c>
      <c r="AT22" s="161"/>
      <c r="AU22" s="166"/>
      <c r="AV22" s="166"/>
      <c r="AW22" s="166"/>
      <c r="AX22" s="166"/>
      <c r="AY22" s="166"/>
      <c r="AZ22" s="166"/>
      <c r="BA22" s="166"/>
      <c r="BB22" s="166"/>
      <c r="BC22" s="166"/>
      <c r="BD22" s="166"/>
      <c r="BE22" s="166"/>
      <c r="BF22" s="166"/>
      <c r="BG22" s="166"/>
      <c r="BH22" s="166"/>
      <c r="BI22" s="166"/>
      <c r="BJ22" s="166"/>
      <c r="BK22" s="166"/>
      <c r="BL22" s="166"/>
      <c r="BM22" s="166"/>
      <c r="BN22" s="166"/>
      <c r="BO22" s="166"/>
      <c r="BP22" s="166"/>
      <c r="BQ22" s="166"/>
      <c r="BR22" s="166"/>
      <c r="BS22" s="166"/>
      <c r="BT22" s="166"/>
      <c r="BU22" s="166"/>
      <c r="BV22" s="166"/>
      <c r="BW22" s="166"/>
      <c r="BX22" s="166"/>
      <c r="BY22" s="166"/>
      <c r="BZ22" s="166"/>
      <c r="CA22" s="166"/>
      <c r="CB22" s="166"/>
      <c r="CC22" s="166"/>
      <c r="CD22" s="166"/>
      <c r="CE22" s="166"/>
      <c r="CF22" s="166"/>
      <c r="CG22" s="166"/>
      <c r="CH22" s="166"/>
      <c r="CI22" s="166"/>
      <c r="CJ22" s="166"/>
      <c r="CK22" s="166"/>
      <c r="CL22" s="166"/>
      <c r="CM22" s="166"/>
      <c r="CN22" s="166"/>
      <c r="CO22" s="166"/>
      <c r="CP22" s="166"/>
      <c r="CQ22" s="166"/>
      <c r="CR22" s="166"/>
      <c r="CS22" s="166"/>
      <c r="CT22" s="166"/>
      <c r="CU22" s="166"/>
      <c r="CV22" s="166"/>
      <c r="CW22" s="166"/>
      <c r="CX22" s="166"/>
      <c r="CY22" s="166"/>
      <c r="CZ22" s="166"/>
      <c r="DA22" s="166"/>
      <c r="DB22" s="166"/>
      <c r="DC22" s="166"/>
      <c r="DD22" s="166"/>
      <c r="DE22" s="166"/>
      <c r="DF22" s="166"/>
      <c r="DG22" s="166"/>
      <c r="DH22" s="166"/>
      <c r="DI22" s="166"/>
      <c r="DJ22" s="166"/>
      <c r="DK22" s="166"/>
      <c r="DL22" s="166"/>
      <c r="DM22" s="166"/>
      <c r="DN22" s="166"/>
      <c r="DO22" s="166"/>
      <c r="DP22" s="166"/>
      <c r="DQ22" s="167"/>
    </row>
    <row r="23" spans="1:121" s="164" customFormat="1" ht="15" customHeight="1" x14ac:dyDescent="0.2">
      <c r="A23" s="172" t="s">
        <v>94</v>
      </c>
      <c r="B23" s="165">
        <v>314</v>
      </c>
      <c r="C23" s="165">
        <v>267</v>
      </c>
      <c r="D23" s="165">
        <v>187</v>
      </c>
      <c r="E23" s="165">
        <v>156</v>
      </c>
      <c r="F23" s="165">
        <v>1265</v>
      </c>
      <c r="G23" s="165">
        <v>1361</v>
      </c>
      <c r="H23" s="166">
        <v>2507</v>
      </c>
      <c r="I23" s="166">
        <v>4915</v>
      </c>
      <c r="J23" s="166">
        <v>5418</v>
      </c>
      <c r="K23" s="166">
        <v>4340</v>
      </c>
      <c r="L23" s="166">
        <v>3845</v>
      </c>
      <c r="M23" s="166">
        <v>2048</v>
      </c>
      <c r="N23" s="166">
        <v>2995</v>
      </c>
      <c r="O23" s="166">
        <v>2724</v>
      </c>
      <c r="P23" s="166">
        <v>1958</v>
      </c>
      <c r="Q23" s="166">
        <v>2864</v>
      </c>
      <c r="R23" s="166">
        <v>1911</v>
      </c>
      <c r="S23" s="166">
        <v>191</v>
      </c>
      <c r="T23" s="166">
        <v>360</v>
      </c>
      <c r="U23" s="166">
        <v>937</v>
      </c>
      <c r="V23" s="166">
        <v>808</v>
      </c>
      <c r="W23" s="166">
        <v>1189</v>
      </c>
      <c r="X23" s="166">
        <v>1400</v>
      </c>
      <c r="Y23" s="166">
        <v>468</v>
      </c>
      <c r="Z23" s="166">
        <v>737</v>
      </c>
      <c r="AA23" s="166">
        <v>1058</v>
      </c>
      <c r="AB23" s="166">
        <v>901.85621813</v>
      </c>
      <c r="AC23" s="166">
        <v>927</v>
      </c>
      <c r="AD23" s="166">
        <v>746</v>
      </c>
      <c r="AE23" s="166">
        <v>984</v>
      </c>
      <c r="AF23" s="166">
        <v>927</v>
      </c>
      <c r="AG23" s="166">
        <v>637</v>
      </c>
      <c r="AH23" s="166">
        <v>560</v>
      </c>
      <c r="AI23" s="166">
        <v>858</v>
      </c>
      <c r="AJ23" s="166">
        <v>971</v>
      </c>
      <c r="AK23" s="166">
        <v>1559</v>
      </c>
      <c r="AL23" s="166">
        <v>1842</v>
      </c>
      <c r="AM23" s="166">
        <v>1654</v>
      </c>
      <c r="AN23" s="166">
        <v>1497</v>
      </c>
      <c r="AO23" s="166">
        <v>1109</v>
      </c>
      <c r="AP23" s="373">
        <v>1124</v>
      </c>
      <c r="AQ23" s="373">
        <v>1211</v>
      </c>
      <c r="AR23" s="373">
        <v>3119</v>
      </c>
      <c r="AS23" s="374">
        <v>2866</v>
      </c>
      <c r="AT23" s="161"/>
      <c r="AU23" s="166"/>
      <c r="AV23" s="166"/>
      <c r="AW23" s="166"/>
      <c r="AX23" s="166"/>
      <c r="AY23" s="166"/>
      <c r="AZ23" s="166"/>
      <c r="BA23" s="166"/>
      <c r="BB23" s="166"/>
      <c r="BC23" s="166"/>
      <c r="BD23" s="166"/>
      <c r="BE23" s="166"/>
      <c r="BF23" s="166"/>
      <c r="BG23" s="166"/>
      <c r="BH23" s="166"/>
      <c r="BI23" s="166"/>
      <c r="BJ23" s="166"/>
      <c r="BK23" s="166"/>
      <c r="BL23" s="166"/>
      <c r="BM23" s="166"/>
      <c r="BN23" s="166"/>
      <c r="BO23" s="166"/>
      <c r="BP23" s="166"/>
      <c r="BQ23" s="166"/>
      <c r="BR23" s="166"/>
      <c r="BS23" s="166"/>
      <c r="BT23" s="166"/>
      <c r="BU23" s="166"/>
      <c r="BV23" s="166"/>
      <c r="BW23" s="166"/>
      <c r="BX23" s="166"/>
      <c r="BY23" s="166"/>
      <c r="BZ23" s="166"/>
      <c r="CA23" s="166"/>
      <c r="CB23" s="166"/>
      <c r="CC23" s="166"/>
      <c r="CD23" s="166"/>
      <c r="CE23" s="166"/>
      <c r="CF23" s="166"/>
      <c r="CG23" s="166"/>
      <c r="CH23" s="166"/>
      <c r="CI23" s="166"/>
      <c r="CJ23" s="166"/>
      <c r="CK23" s="166"/>
      <c r="CL23" s="166"/>
      <c r="CM23" s="166"/>
      <c r="CN23" s="166"/>
      <c r="CO23" s="166"/>
      <c r="CP23" s="166"/>
      <c r="CQ23" s="166"/>
      <c r="CR23" s="166"/>
      <c r="CS23" s="166"/>
      <c r="CT23" s="166"/>
      <c r="CU23" s="166"/>
      <c r="CV23" s="166"/>
      <c r="CW23" s="166"/>
      <c r="CX23" s="166"/>
      <c r="CY23" s="166"/>
      <c r="CZ23" s="166"/>
      <c r="DA23" s="166"/>
      <c r="DB23" s="166"/>
      <c r="DC23" s="166"/>
      <c r="DD23" s="166"/>
      <c r="DE23" s="166"/>
      <c r="DF23" s="166"/>
      <c r="DG23" s="166"/>
      <c r="DH23" s="166"/>
      <c r="DI23" s="166"/>
      <c r="DJ23" s="166"/>
      <c r="DK23" s="166"/>
      <c r="DL23" s="166"/>
      <c r="DM23" s="166"/>
      <c r="DN23" s="166"/>
      <c r="DO23" s="166"/>
      <c r="DP23" s="166"/>
      <c r="DQ23" s="167"/>
    </row>
    <row r="24" spans="1:121" s="164" customFormat="1" ht="15" customHeight="1" x14ac:dyDescent="0.2">
      <c r="A24" s="434" t="s">
        <v>631</v>
      </c>
      <c r="B24" s="165">
        <v>1459</v>
      </c>
      <c r="C24" s="165">
        <v>2156</v>
      </c>
      <c r="D24" s="165">
        <v>1657</v>
      </c>
      <c r="E24" s="165">
        <v>1841</v>
      </c>
      <c r="F24" s="165">
        <v>1655</v>
      </c>
      <c r="G24" s="165">
        <v>1996</v>
      </c>
      <c r="H24" s="166">
        <v>4826</v>
      </c>
      <c r="I24" s="166">
        <v>1900</v>
      </c>
      <c r="J24" s="166">
        <v>1897</v>
      </c>
      <c r="K24" s="166">
        <v>1796</v>
      </c>
      <c r="L24" s="166">
        <v>1860</v>
      </c>
      <c r="M24" s="166">
        <v>2223</v>
      </c>
      <c r="N24" s="166">
        <v>2912</v>
      </c>
      <c r="O24" s="166">
        <v>2122</v>
      </c>
      <c r="P24" s="166">
        <v>2782</v>
      </c>
      <c r="Q24" s="166">
        <v>2928</v>
      </c>
      <c r="R24" s="166">
        <v>3758</v>
      </c>
      <c r="S24" s="166">
        <v>3631</v>
      </c>
      <c r="T24" s="166">
        <v>4205</v>
      </c>
      <c r="U24" s="166">
        <v>4429</v>
      </c>
      <c r="V24" s="166">
        <v>5071</v>
      </c>
      <c r="W24" s="166">
        <v>7291</v>
      </c>
      <c r="X24" s="166">
        <v>8046</v>
      </c>
      <c r="Y24" s="166">
        <v>8524</v>
      </c>
      <c r="Z24" s="166">
        <v>8307</v>
      </c>
      <c r="AA24" s="166">
        <v>8891</v>
      </c>
      <c r="AB24" s="166">
        <v>8708</v>
      </c>
      <c r="AC24" s="166">
        <v>9081</v>
      </c>
      <c r="AD24" s="166">
        <v>8857</v>
      </c>
      <c r="AE24" s="166">
        <v>8583</v>
      </c>
      <c r="AF24" s="166">
        <v>9492</v>
      </c>
      <c r="AG24" s="166">
        <v>11416</v>
      </c>
      <c r="AH24" s="166">
        <v>12204</v>
      </c>
      <c r="AI24" s="166">
        <v>11600</v>
      </c>
      <c r="AJ24" s="166">
        <v>13290</v>
      </c>
      <c r="AK24" s="166">
        <v>12559</v>
      </c>
      <c r="AL24" s="166">
        <v>12300</v>
      </c>
      <c r="AM24" s="166">
        <v>11121</v>
      </c>
      <c r="AN24" s="166">
        <v>11526</v>
      </c>
      <c r="AO24" s="166">
        <v>11634</v>
      </c>
      <c r="AP24" s="373">
        <v>11179</v>
      </c>
      <c r="AQ24" s="373">
        <v>11831</v>
      </c>
      <c r="AR24" s="373">
        <v>11165</v>
      </c>
      <c r="AS24" s="374">
        <v>10484</v>
      </c>
      <c r="AT24" s="161"/>
      <c r="AU24" s="166"/>
      <c r="AV24" s="166"/>
      <c r="AW24" s="166"/>
      <c r="AX24" s="166"/>
      <c r="AY24" s="166"/>
      <c r="AZ24" s="166"/>
      <c r="BA24" s="166"/>
      <c r="BB24" s="166"/>
      <c r="BC24" s="166"/>
      <c r="BD24" s="166"/>
      <c r="BE24" s="166"/>
      <c r="BF24" s="166"/>
      <c r="BG24" s="166"/>
      <c r="BH24" s="166"/>
      <c r="BI24" s="166"/>
      <c r="BJ24" s="166"/>
      <c r="BK24" s="166"/>
      <c r="BL24" s="166"/>
      <c r="BM24" s="166"/>
      <c r="BN24" s="166"/>
      <c r="BO24" s="166"/>
      <c r="BP24" s="166"/>
      <c r="BQ24" s="166"/>
      <c r="BR24" s="166"/>
      <c r="BS24" s="166"/>
      <c r="BT24" s="166"/>
      <c r="BU24" s="166"/>
      <c r="BV24" s="166"/>
      <c r="BW24" s="166"/>
      <c r="BX24" s="166"/>
      <c r="BY24" s="166"/>
      <c r="BZ24" s="166"/>
      <c r="CA24" s="166"/>
      <c r="CB24" s="166"/>
      <c r="CC24" s="166"/>
      <c r="CD24" s="166"/>
      <c r="CE24" s="166"/>
      <c r="CF24" s="166"/>
      <c r="CG24" s="166"/>
      <c r="CH24" s="166"/>
      <c r="CI24" s="166"/>
      <c r="CJ24" s="166"/>
      <c r="CK24" s="166"/>
      <c r="CL24" s="166"/>
      <c r="CM24" s="166"/>
      <c r="CN24" s="166"/>
      <c r="CO24" s="166"/>
      <c r="CP24" s="166"/>
      <c r="CQ24" s="166"/>
      <c r="CR24" s="166"/>
      <c r="CS24" s="166"/>
      <c r="CT24" s="166"/>
      <c r="CU24" s="166"/>
      <c r="CV24" s="166"/>
      <c r="CW24" s="166"/>
      <c r="CX24" s="166"/>
      <c r="CY24" s="166"/>
      <c r="CZ24" s="166"/>
      <c r="DA24" s="166"/>
      <c r="DB24" s="166"/>
      <c r="DC24" s="166"/>
      <c r="DD24" s="166"/>
      <c r="DE24" s="166"/>
      <c r="DF24" s="166"/>
      <c r="DG24" s="166"/>
      <c r="DH24" s="166"/>
      <c r="DI24" s="166"/>
      <c r="DJ24" s="166"/>
      <c r="DK24" s="166"/>
      <c r="DL24" s="166"/>
      <c r="DM24" s="166"/>
      <c r="DN24" s="166"/>
      <c r="DO24" s="166"/>
      <c r="DP24" s="166"/>
      <c r="DQ24" s="167"/>
    </row>
    <row r="25" spans="1:121" s="164" customFormat="1" ht="15" customHeight="1" x14ac:dyDescent="0.2">
      <c r="A25" s="434" t="s">
        <v>613</v>
      </c>
      <c r="B25" s="165">
        <v>1025</v>
      </c>
      <c r="C25" s="165">
        <v>2442</v>
      </c>
      <c r="D25" s="165">
        <v>2679</v>
      </c>
      <c r="E25" s="165">
        <v>1207</v>
      </c>
      <c r="F25" s="165">
        <v>2029</v>
      </c>
      <c r="G25" s="165">
        <v>2073</v>
      </c>
      <c r="H25" s="166">
        <v>1926</v>
      </c>
      <c r="I25" s="166">
        <v>2364</v>
      </c>
      <c r="J25" s="166">
        <v>2282</v>
      </c>
      <c r="K25" s="166">
        <v>3188</v>
      </c>
      <c r="L25" s="166">
        <v>2500</v>
      </c>
      <c r="M25" s="166">
        <v>1359</v>
      </c>
      <c r="N25" s="166">
        <v>3052</v>
      </c>
      <c r="O25" s="166">
        <v>1607</v>
      </c>
      <c r="P25" s="166">
        <v>2364</v>
      </c>
      <c r="Q25" s="166">
        <v>1610</v>
      </c>
      <c r="R25" s="166">
        <v>3256</v>
      </c>
      <c r="S25" s="166">
        <v>2259</v>
      </c>
      <c r="T25" s="166">
        <v>2804</v>
      </c>
      <c r="U25" s="166">
        <v>919</v>
      </c>
      <c r="V25" s="166">
        <v>2265</v>
      </c>
      <c r="W25" s="166">
        <v>3152</v>
      </c>
      <c r="X25" s="166">
        <v>3100</v>
      </c>
      <c r="Y25" s="166">
        <v>3156</v>
      </c>
      <c r="Z25" s="166">
        <v>1544</v>
      </c>
      <c r="AA25" s="166">
        <v>3238</v>
      </c>
      <c r="AB25" s="166">
        <v>3308</v>
      </c>
      <c r="AC25" s="166">
        <v>2500</v>
      </c>
      <c r="AD25" s="166">
        <v>4373</v>
      </c>
      <c r="AE25" s="166">
        <v>5734</v>
      </c>
      <c r="AF25" s="166">
        <v>5450</v>
      </c>
      <c r="AG25" s="166">
        <v>4562</v>
      </c>
      <c r="AH25" s="166">
        <v>6282</v>
      </c>
      <c r="AI25" s="166">
        <v>6261</v>
      </c>
      <c r="AJ25" s="166">
        <v>13940</v>
      </c>
      <c r="AK25" s="166">
        <v>13540</v>
      </c>
      <c r="AL25" s="166">
        <v>9882</v>
      </c>
      <c r="AM25" s="166">
        <v>17793</v>
      </c>
      <c r="AN25" s="166">
        <v>14527</v>
      </c>
      <c r="AO25" s="166">
        <v>15911.019883400017</v>
      </c>
      <c r="AP25" s="373">
        <v>16650</v>
      </c>
      <c r="AQ25" s="373">
        <v>13788</v>
      </c>
      <c r="AR25" s="373">
        <v>16009</v>
      </c>
      <c r="AS25" s="374">
        <v>14173</v>
      </c>
      <c r="AT25" s="161"/>
      <c r="AU25" s="166"/>
      <c r="AV25" s="166"/>
      <c r="AW25" s="166"/>
      <c r="AX25" s="166"/>
      <c r="AY25" s="166"/>
      <c r="AZ25" s="166"/>
      <c r="BA25" s="166"/>
      <c r="BB25" s="166"/>
      <c r="BC25" s="166"/>
      <c r="BD25" s="166"/>
      <c r="BE25" s="166"/>
      <c r="BF25" s="166"/>
      <c r="BG25" s="166"/>
      <c r="BH25" s="166"/>
      <c r="BI25" s="166"/>
      <c r="BJ25" s="166"/>
      <c r="BK25" s="166"/>
      <c r="BL25" s="166"/>
      <c r="BM25" s="166"/>
      <c r="BN25" s="166"/>
      <c r="BO25" s="166"/>
      <c r="BP25" s="166"/>
      <c r="BQ25" s="166"/>
      <c r="BR25" s="166"/>
      <c r="BS25" s="166"/>
      <c r="BT25" s="166"/>
      <c r="BU25" s="166"/>
      <c r="BV25" s="166"/>
      <c r="BW25" s="166"/>
      <c r="BX25" s="166"/>
      <c r="BY25" s="166"/>
      <c r="BZ25" s="166"/>
      <c r="CA25" s="166"/>
      <c r="CB25" s="166"/>
      <c r="CC25" s="166"/>
      <c r="CD25" s="166"/>
      <c r="CE25" s="166"/>
      <c r="CF25" s="166"/>
      <c r="CG25" s="166"/>
      <c r="CH25" s="166"/>
      <c r="CI25" s="166"/>
      <c r="CJ25" s="166"/>
      <c r="CK25" s="166"/>
      <c r="CL25" s="166"/>
      <c r="CM25" s="166"/>
      <c r="CN25" s="166"/>
      <c r="CO25" s="166"/>
      <c r="CP25" s="166"/>
      <c r="CQ25" s="166"/>
      <c r="CR25" s="166"/>
      <c r="CS25" s="166"/>
      <c r="CT25" s="166"/>
      <c r="CU25" s="166"/>
      <c r="CV25" s="166"/>
      <c r="CW25" s="166"/>
      <c r="CX25" s="166"/>
      <c r="CY25" s="166"/>
      <c r="CZ25" s="166"/>
      <c r="DA25" s="166"/>
      <c r="DB25" s="166"/>
      <c r="DC25" s="166"/>
      <c r="DD25" s="166"/>
      <c r="DE25" s="166"/>
      <c r="DF25" s="166"/>
      <c r="DG25" s="166"/>
      <c r="DH25" s="166"/>
      <c r="DI25" s="166"/>
      <c r="DJ25" s="166"/>
      <c r="DK25" s="166"/>
      <c r="DL25" s="166"/>
      <c r="DM25" s="166"/>
      <c r="DN25" s="166"/>
      <c r="DO25" s="166"/>
      <c r="DP25" s="166"/>
      <c r="DQ25" s="167"/>
    </row>
    <row r="26" spans="1:121" s="164" customFormat="1" ht="15" customHeight="1" x14ac:dyDescent="0.2">
      <c r="A26" s="434" t="s">
        <v>91</v>
      </c>
      <c r="B26" s="165">
        <v>929</v>
      </c>
      <c r="C26" s="165">
        <v>1436</v>
      </c>
      <c r="D26" s="165">
        <v>1870</v>
      </c>
      <c r="E26" s="165">
        <v>2566</v>
      </c>
      <c r="F26" s="165">
        <v>2269</v>
      </c>
      <c r="G26" s="165">
        <v>2761</v>
      </c>
      <c r="H26" s="166">
        <v>3411</v>
      </c>
      <c r="I26" s="166">
        <v>4470</v>
      </c>
      <c r="J26" s="166">
        <f>1385+3341</f>
        <v>4726</v>
      </c>
      <c r="K26" s="166">
        <v>6818</v>
      </c>
      <c r="L26" s="166">
        <f>1738+5019</f>
        <v>6757</v>
      </c>
      <c r="M26" s="166">
        <v>8252</v>
      </c>
      <c r="N26" s="166">
        <f>1782+6023</f>
        <v>7805</v>
      </c>
      <c r="O26" s="166">
        <f>2062+5299</f>
        <v>7361</v>
      </c>
      <c r="P26" s="166">
        <f>2204+6210</f>
        <v>8414</v>
      </c>
      <c r="Q26" s="166">
        <v>10051</v>
      </c>
      <c r="R26" s="166">
        <f>4770+6753-1</f>
        <v>11522</v>
      </c>
      <c r="S26" s="166">
        <f>5138+6877+1</f>
        <v>12016</v>
      </c>
      <c r="T26" s="166">
        <f>5367+7083+1</f>
        <v>12451</v>
      </c>
      <c r="U26" s="166">
        <f>5426+9568</f>
        <v>14994</v>
      </c>
      <c r="V26" s="166">
        <f>5601+11092</f>
        <v>16693</v>
      </c>
      <c r="W26" s="166">
        <v>14648</v>
      </c>
      <c r="X26" s="166">
        <v>15508</v>
      </c>
      <c r="Y26" s="166">
        <f>6354+9743</f>
        <v>16097</v>
      </c>
      <c r="Z26" s="166">
        <f>6116+9370</f>
        <v>15486</v>
      </c>
      <c r="AA26" s="166">
        <f>5705+11072</f>
        <v>16777</v>
      </c>
      <c r="AB26" s="166">
        <f>6077+11377+1</f>
        <v>17455</v>
      </c>
      <c r="AC26" s="166">
        <f>6605+11897</f>
        <v>18502</v>
      </c>
      <c r="AD26" s="166">
        <f>10307+11770</f>
        <v>22077</v>
      </c>
      <c r="AE26" s="166">
        <v>23373</v>
      </c>
      <c r="AF26" s="166">
        <v>24865</v>
      </c>
      <c r="AG26" s="166">
        <v>26225</v>
      </c>
      <c r="AH26" s="166">
        <v>24813</v>
      </c>
      <c r="AI26" s="166">
        <v>26270</v>
      </c>
      <c r="AJ26" s="166">
        <v>30401</v>
      </c>
      <c r="AK26" s="166">
        <v>25793</v>
      </c>
      <c r="AL26" s="166">
        <v>24240</v>
      </c>
      <c r="AM26" s="166">
        <v>24280</v>
      </c>
      <c r="AN26" s="166">
        <v>30313</v>
      </c>
      <c r="AO26" s="166">
        <v>31616</v>
      </c>
      <c r="AP26" s="373">
        <v>32849</v>
      </c>
      <c r="AQ26" s="373">
        <v>31444</v>
      </c>
      <c r="AR26" s="373">
        <v>30958</v>
      </c>
      <c r="AS26" s="374">
        <v>35423</v>
      </c>
      <c r="AT26" s="161"/>
      <c r="AU26" s="166"/>
      <c r="AV26" s="166"/>
      <c r="AW26" s="166"/>
      <c r="AX26" s="166"/>
      <c r="AY26" s="166"/>
      <c r="AZ26" s="166"/>
      <c r="BA26" s="166"/>
      <c r="BB26" s="166"/>
      <c r="BC26" s="166"/>
      <c r="BD26" s="166"/>
      <c r="BE26" s="166"/>
      <c r="BF26" s="166"/>
      <c r="BG26" s="166"/>
      <c r="BH26" s="166"/>
      <c r="BI26" s="166"/>
      <c r="BJ26" s="166"/>
      <c r="BK26" s="166"/>
      <c r="BL26" s="166"/>
      <c r="BM26" s="166"/>
      <c r="BN26" s="166"/>
      <c r="BO26" s="166"/>
      <c r="BP26" s="166"/>
      <c r="BQ26" s="166"/>
      <c r="BR26" s="166"/>
      <c r="BS26" s="166"/>
      <c r="BT26" s="166"/>
      <c r="BU26" s="166"/>
      <c r="BV26" s="166"/>
      <c r="BW26" s="166"/>
      <c r="BX26" s="166"/>
      <c r="BY26" s="166"/>
      <c r="BZ26" s="166"/>
      <c r="CA26" s="166"/>
      <c r="CB26" s="166"/>
      <c r="CC26" s="166"/>
      <c r="CD26" s="166"/>
      <c r="CE26" s="166"/>
      <c r="CF26" s="166"/>
      <c r="CG26" s="166"/>
      <c r="CH26" s="166"/>
      <c r="CI26" s="166"/>
      <c r="CJ26" s="166"/>
      <c r="CK26" s="166"/>
      <c r="CL26" s="166"/>
      <c r="CM26" s="166"/>
      <c r="CN26" s="166"/>
      <c r="CO26" s="166"/>
      <c r="CP26" s="166"/>
      <c r="CQ26" s="166"/>
      <c r="CR26" s="166"/>
      <c r="CS26" s="166"/>
      <c r="CT26" s="166"/>
      <c r="CU26" s="166"/>
      <c r="CV26" s="166"/>
      <c r="CW26" s="166"/>
      <c r="CX26" s="166"/>
      <c r="CY26" s="166"/>
      <c r="CZ26" s="166"/>
      <c r="DA26" s="166"/>
      <c r="DB26" s="166"/>
      <c r="DC26" s="166"/>
      <c r="DD26" s="166"/>
      <c r="DE26" s="166"/>
      <c r="DF26" s="166"/>
      <c r="DG26" s="166"/>
      <c r="DH26" s="166"/>
      <c r="DI26" s="166"/>
      <c r="DJ26" s="166"/>
      <c r="DK26" s="166"/>
      <c r="DL26" s="166"/>
      <c r="DM26" s="166"/>
      <c r="DN26" s="166"/>
      <c r="DO26" s="166"/>
      <c r="DP26" s="166"/>
      <c r="DQ26" s="167"/>
    </row>
    <row r="27" spans="1:121" ht="5.0999999999999996" customHeight="1" x14ac:dyDescent="0.2">
      <c r="A27" s="683"/>
      <c r="B27" s="103"/>
      <c r="C27" s="103"/>
      <c r="D27" s="103"/>
      <c r="E27" s="103"/>
      <c r="F27" s="103"/>
      <c r="G27" s="103"/>
      <c r="H27" s="102"/>
      <c r="I27" s="102"/>
      <c r="J27" s="102"/>
      <c r="K27" s="102"/>
      <c r="L27" s="102"/>
      <c r="M27" s="102"/>
      <c r="N27" s="102"/>
      <c r="O27" s="102"/>
      <c r="P27" s="102"/>
      <c r="Q27" s="102"/>
      <c r="R27" s="102"/>
      <c r="S27" s="102"/>
      <c r="T27" s="102"/>
      <c r="U27" s="102"/>
      <c r="V27" s="102"/>
      <c r="W27" s="102"/>
      <c r="X27" s="102"/>
      <c r="Y27" s="102"/>
      <c r="Z27" s="102"/>
      <c r="AA27" s="102"/>
      <c r="AB27" s="102"/>
      <c r="AC27" s="102"/>
      <c r="AD27" s="102"/>
      <c r="AE27" s="102"/>
      <c r="AF27" s="102"/>
      <c r="AG27" s="102"/>
      <c r="AH27" s="102"/>
      <c r="AI27" s="102"/>
      <c r="AJ27" s="102"/>
      <c r="AK27" s="102"/>
      <c r="AL27" s="102"/>
      <c r="AM27" s="102"/>
      <c r="AN27" s="102"/>
      <c r="AO27" s="102"/>
      <c r="AP27" s="102"/>
      <c r="AQ27" s="55"/>
      <c r="AR27" s="55"/>
      <c r="AS27" s="189"/>
    </row>
    <row r="28" spans="1:121" s="164" customFormat="1" ht="15" customHeight="1" x14ac:dyDescent="0.2">
      <c r="A28" s="435" t="s">
        <v>632</v>
      </c>
      <c r="B28" s="160">
        <v>22980</v>
      </c>
      <c r="C28" s="160">
        <v>25957</v>
      </c>
      <c r="D28" s="160">
        <v>26676</v>
      </c>
      <c r="E28" s="160">
        <v>28435</v>
      </c>
      <c r="F28" s="160">
        <v>28952</v>
      </c>
      <c r="G28" s="160">
        <v>28630</v>
      </c>
      <c r="H28" s="161">
        <v>27490</v>
      </c>
      <c r="I28" s="161">
        <v>27981</v>
      </c>
      <c r="J28" s="161">
        <v>27573</v>
      </c>
      <c r="K28" s="161">
        <v>26824</v>
      </c>
      <c r="L28" s="161">
        <v>29458</v>
      </c>
      <c r="M28" s="161">
        <v>29455</v>
      </c>
      <c r="N28" s="161">
        <f>30216+1</f>
        <v>30217</v>
      </c>
      <c r="O28" s="161">
        <v>28204</v>
      </c>
      <c r="P28" s="161">
        <v>25649</v>
      </c>
      <c r="Q28" s="161">
        <v>31740</v>
      </c>
      <c r="R28" s="161">
        <v>24475</v>
      </c>
      <c r="S28" s="161">
        <v>25377</v>
      </c>
      <c r="T28" s="161">
        <v>27810</v>
      </c>
      <c r="U28" s="161">
        <v>32510</v>
      </c>
      <c r="V28" s="161">
        <v>37145</v>
      </c>
      <c r="W28" s="161">
        <v>41640</v>
      </c>
      <c r="X28" s="161">
        <v>34939</v>
      </c>
      <c r="Y28" s="161">
        <v>40742</v>
      </c>
      <c r="Z28" s="161">
        <v>41779</v>
      </c>
      <c r="AA28" s="161">
        <v>43121</v>
      </c>
      <c r="AB28" s="161">
        <v>48363</v>
      </c>
      <c r="AC28" s="161">
        <v>46945</v>
      </c>
      <c r="AD28" s="161">
        <v>45048</v>
      </c>
      <c r="AE28" s="161">
        <v>50323</v>
      </c>
      <c r="AF28" s="161">
        <v>47717</v>
      </c>
      <c r="AG28" s="161">
        <v>36343</v>
      </c>
      <c r="AH28" s="161">
        <v>73133</v>
      </c>
      <c r="AI28" s="161">
        <v>77175</v>
      </c>
      <c r="AJ28" s="161">
        <v>93408</v>
      </c>
      <c r="AK28" s="161">
        <v>101277</v>
      </c>
      <c r="AL28" s="161">
        <v>112993</v>
      </c>
      <c r="AM28" s="161">
        <v>126103</v>
      </c>
      <c r="AN28" s="161">
        <v>147853</v>
      </c>
      <c r="AO28" s="161">
        <v>154255</v>
      </c>
      <c r="AP28" s="376">
        <v>162786</v>
      </c>
      <c r="AQ28" s="376">
        <v>159528.25</v>
      </c>
      <c r="AR28" s="376">
        <v>165918</v>
      </c>
      <c r="AS28" s="377">
        <v>176987</v>
      </c>
      <c r="AT28" s="161"/>
      <c r="AU28" s="161"/>
      <c r="AV28" s="161"/>
      <c r="AW28" s="161"/>
      <c r="AX28" s="161"/>
      <c r="AY28" s="161"/>
      <c r="AZ28" s="161"/>
      <c r="BA28" s="161"/>
      <c r="BB28" s="161"/>
      <c r="BC28" s="161"/>
      <c r="BD28" s="161"/>
      <c r="BE28" s="161"/>
      <c r="BF28" s="161"/>
      <c r="BG28" s="161"/>
      <c r="BH28" s="161"/>
      <c r="BI28" s="161"/>
      <c r="BJ28" s="161"/>
      <c r="BK28" s="161"/>
      <c r="BL28" s="161"/>
      <c r="BM28" s="161"/>
      <c r="BN28" s="161"/>
      <c r="BO28" s="161"/>
      <c r="BP28" s="161"/>
      <c r="BQ28" s="161"/>
      <c r="BR28" s="161"/>
      <c r="BS28" s="161"/>
      <c r="BT28" s="161"/>
      <c r="BU28" s="161"/>
      <c r="BV28" s="161"/>
      <c r="BW28" s="161"/>
      <c r="BX28" s="161"/>
      <c r="BY28" s="161"/>
      <c r="BZ28" s="161"/>
      <c r="CA28" s="161"/>
      <c r="CB28" s="161"/>
      <c r="CC28" s="161"/>
      <c r="CD28" s="161"/>
      <c r="CE28" s="161"/>
      <c r="CF28" s="161"/>
      <c r="CG28" s="161"/>
      <c r="CH28" s="161"/>
      <c r="CI28" s="161"/>
      <c r="CJ28" s="161"/>
      <c r="CK28" s="161"/>
      <c r="CL28" s="161"/>
      <c r="CM28" s="161"/>
      <c r="CN28" s="161"/>
      <c r="CO28" s="161"/>
      <c r="CP28" s="161"/>
      <c r="CQ28" s="161"/>
      <c r="CR28" s="161"/>
      <c r="CS28" s="161"/>
      <c r="CT28" s="161"/>
      <c r="CU28" s="161"/>
      <c r="CV28" s="161"/>
      <c r="CW28" s="161"/>
      <c r="CX28" s="161"/>
      <c r="CY28" s="161"/>
      <c r="CZ28" s="161"/>
      <c r="DA28" s="161"/>
      <c r="DB28" s="161"/>
      <c r="DC28" s="161"/>
      <c r="DD28" s="161"/>
      <c r="DE28" s="161"/>
      <c r="DF28" s="161"/>
      <c r="DG28" s="161"/>
      <c r="DH28" s="161"/>
      <c r="DI28" s="161"/>
      <c r="DJ28" s="161"/>
      <c r="DK28" s="161"/>
      <c r="DL28" s="161"/>
      <c r="DM28" s="161"/>
      <c r="DN28" s="161"/>
      <c r="DO28" s="161"/>
      <c r="DP28" s="161"/>
      <c r="DQ28" s="163"/>
    </row>
    <row r="29" spans="1:121" ht="5.0999999999999996" customHeight="1" x14ac:dyDescent="0.2">
      <c r="A29" s="683"/>
      <c r="B29" s="103"/>
      <c r="C29" s="103"/>
      <c r="D29" s="103"/>
      <c r="E29" s="103"/>
      <c r="F29" s="103"/>
      <c r="G29" s="103"/>
      <c r="H29" s="102"/>
      <c r="I29" s="102"/>
      <c r="J29" s="102"/>
      <c r="K29" s="102"/>
      <c r="L29" s="102"/>
      <c r="M29" s="102"/>
      <c r="N29" s="102"/>
      <c r="O29" s="102"/>
      <c r="P29" s="102"/>
      <c r="Q29" s="102"/>
      <c r="R29" s="102"/>
      <c r="S29" s="102"/>
      <c r="T29" s="102"/>
      <c r="U29" s="102"/>
      <c r="V29" s="102"/>
      <c r="W29" s="102"/>
      <c r="X29" s="102"/>
      <c r="Y29" s="102"/>
      <c r="Z29" s="102"/>
      <c r="AA29" s="102"/>
      <c r="AB29" s="102"/>
      <c r="AC29" s="102"/>
      <c r="AD29" s="102"/>
      <c r="AE29" s="102"/>
      <c r="AF29" s="102"/>
      <c r="AG29" s="102"/>
      <c r="AH29" s="102"/>
      <c r="AI29" s="102"/>
      <c r="AJ29" s="102"/>
      <c r="AK29" s="102"/>
      <c r="AL29" s="102"/>
      <c r="AM29" s="102"/>
      <c r="AN29" s="102"/>
      <c r="AO29" s="102"/>
      <c r="AP29" s="102"/>
      <c r="AQ29" s="55"/>
      <c r="AR29" s="55"/>
      <c r="AS29" s="189"/>
    </row>
    <row r="30" spans="1:121" s="164" customFormat="1" ht="15" customHeight="1" x14ac:dyDescent="0.2">
      <c r="A30" s="145" t="s">
        <v>7</v>
      </c>
      <c r="B30" s="160">
        <f t="shared" ref="B30:AK30" si="6">B10+B19+B28</f>
        <v>86963</v>
      </c>
      <c r="C30" s="160">
        <f t="shared" si="6"/>
        <v>92000</v>
      </c>
      <c r="D30" s="160">
        <f t="shared" si="6"/>
        <v>95991</v>
      </c>
      <c r="E30" s="160">
        <f t="shared" si="6"/>
        <v>104254</v>
      </c>
      <c r="F30" s="160">
        <f t="shared" si="6"/>
        <v>94171</v>
      </c>
      <c r="G30" s="160">
        <f t="shared" si="6"/>
        <v>105034</v>
      </c>
      <c r="H30" s="161">
        <f t="shared" si="6"/>
        <v>116681</v>
      </c>
      <c r="I30" s="161">
        <f t="shared" si="6"/>
        <v>115201</v>
      </c>
      <c r="J30" s="161">
        <f t="shared" si="6"/>
        <v>111849</v>
      </c>
      <c r="K30" s="161">
        <f t="shared" si="6"/>
        <v>124101</v>
      </c>
      <c r="L30" s="161">
        <f t="shared" si="6"/>
        <v>124446</v>
      </c>
      <c r="M30" s="161">
        <f t="shared" si="6"/>
        <v>118735</v>
      </c>
      <c r="N30" s="161">
        <f t="shared" si="6"/>
        <v>131245</v>
      </c>
      <c r="O30" s="161">
        <f t="shared" si="6"/>
        <v>127553</v>
      </c>
      <c r="P30" s="161">
        <f t="shared" si="6"/>
        <v>162062</v>
      </c>
      <c r="Q30" s="161">
        <f t="shared" si="6"/>
        <v>182668</v>
      </c>
      <c r="R30" s="161">
        <f t="shared" si="6"/>
        <v>176519</v>
      </c>
      <c r="S30" s="161">
        <f t="shared" si="6"/>
        <v>187202</v>
      </c>
      <c r="T30" s="161">
        <f t="shared" si="6"/>
        <v>199466</v>
      </c>
      <c r="U30" s="161">
        <f t="shared" si="6"/>
        <v>222420</v>
      </c>
      <c r="V30" s="161">
        <f t="shared" si="6"/>
        <v>253651</v>
      </c>
      <c r="W30" s="161">
        <f t="shared" si="6"/>
        <v>279978</v>
      </c>
      <c r="X30" s="161">
        <f t="shared" si="6"/>
        <v>242375</v>
      </c>
      <c r="Y30" s="161">
        <f t="shared" si="6"/>
        <v>239736</v>
      </c>
      <c r="Z30" s="161">
        <f t="shared" si="6"/>
        <v>229783</v>
      </c>
      <c r="AA30" s="161">
        <f t="shared" si="6"/>
        <v>242528</v>
      </c>
      <c r="AB30" s="161">
        <f t="shared" si="6"/>
        <v>237764.26133670003</v>
      </c>
      <c r="AC30" s="161">
        <f t="shared" si="6"/>
        <v>242859</v>
      </c>
      <c r="AD30" s="161">
        <f t="shared" si="6"/>
        <v>255397</v>
      </c>
      <c r="AE30" s="161">
        <f t="shared" si="6"/>
        <v>258458.83887052001</v>
      </c>
      <c r="AF30" s="161">
        <f t="shared" si="6"/>
        <v>248353</v>
      </c>
      <c r="AG30" s="161">
        <f t="shared" si="6"/>
        <v>240119</v>
      </c>
      <c r="AH30" s="161">
        <f t="shared" si="6"/>
        <v>275553</v>
      </c>
      <c r="AI30" s="161">
        <f t="shared" si="6"/>
        <v>279087</v>
      </c>
      <c r="AJ30" s="161">
        <f t="shared" si="6"/>
        <v>315189</v>
      </c>
      <c r="AK30" s="161">
        <f t="shared" si="6"/>
        <v>346578.97757349996</v>
      </c>
      <c r="AL30" s="161">
        <f t="shared" ref="AL30:AQ30" si="7">AL10+AL19+AL28</f>
        <v>337466</v>
      </c>
      <c r="AM30" s="161">
        <f t="shared" si="7"/>
        <v>376416</v>
      </c>
      <c r="AN30" s="161">
        <f t="shared" si="7"/>
        <v>432574</v>
      </c>
      <c r="AO30" s="161">
        <f t="shared" si="7"/>
        <v>445507.0198834</v>
      </c>
      <c r="AP30" s="376">
        <f t="shared" si="7"/>
        <v>456121</v>
      </c>
      <c r="AQ30" s="376">
        <f t="shared" si="7"/>
        <v>464004.45786878007</v>
      </c>
      <c r="AR30" s="376">
        <f t="shared" ref="AR30:AS30" si="8">AR10+AR19+AR28</f>
        <v>488702</v>
      </c>
      <c r="AS30" s="377">
        <f t="shared" si="8"/>
        <v>512273</v>
      </c>
      <c r="AT30" s="161"/>
      <c r="AU30" s="161"/>
      <c r="AV30" s="161"/>
      <c r="AW30" s="161"/>
      <c r="AX30" s="161"/>
      <c r="AY30" s="161"/>
      <c r="AZ30" s="161"/>
      <c r="BA30" s="161"/>
      <c r="BB30" s="161"/>
      <c r="BC30" s="161"/>
      <c r="BD30" s="161"/>
      <c r="BE30" s="161"/>
      <c r="BF30" s="161"/>
      <c r="BG30" s="161"/>
      <c r="BH30" s="161"/>
      <c r="BI30" s="161"/>
      <c r="BJ30" s="161"/>
      <c r="BK30" s="161"/>
      <c r="BL30" s="161"/>
      <c r="BM30" s="161"/>
      <c r="BN30" s="161"/>
      <c r="BO30" s="161"/>
      <c r="BP30" s="161"/>
      <c r="BQ30" s="161"/>
      <c r="BR30" s="161"/>
      <c r="BS30" s="161"/>
      <c r="BT30" s="161"/>
      <c r="BU30" s="161"/>
      <c r="BV30" s="161"/>
      <c r="BW30" s="161"/>
      <c r="BX30" s="161"/>
      <c r="BY30" s="161"/>
      <c r="BZ30" s="161"/>
      <c r="CA30" s="161"/>
      <c r="CB30" s="161"/>
      <c r="CC30" s="161"/>
      <c r="CD30" s="161"/>
      <c r="CE30" s="161"/>
      <c r="CF30" s="161"/>
      <c r="CG30" s="161"/>
      <c r="CH30" s="161"/>
      <c r="CI30" s="161"/>
      <c r="CJ30" s="161"/>
      <c r="CK30" s="161"/>
      <c r="CL30" s="161"/>
      <c r="CM30" s="161"/>
      <c r="CN30" s="161"/>
      <c r="CO30" s="161"/>
      <c r="CP30" s="161"/>
      <c r="CQ30" s="161"/>
      <c r="CR30" s="161"/>
      <c r="CS30" s="161"/>
      <c r="CT30" s="161"/>
      <c r="CU30" s="161"/>
      <c r="CV30" s="161"/>
      <c r="CW30" s="161"/>
      <c r="CX30" s="161"/>
      <c r="CY30" s="161"/>
      <c r="CZ30" s="161"/>
      <c r="DA30" s="161"/>
      <c r="DB30" s="161"/>
      <c r="DC30" s="161"/>
      <c r="DD30" s="161"/>
      <c r="DE30" s="161"/>
      <c r="DF30" s="161"/>
      <c r="DG30" s="161"/>
      <c r="DH30" s="161"/>
      <c r="DI30" s="161"/>
      <c r="DJ30" s="161"/>
      <c r="DK30" s="161"/>
      <c r="DL30" s="161"/>
      <c r="DM30" s="161"/>
      <c r="DN30" s="161"/>
      <c r="DO30" s="161"/>
      <c r="DP30" s="161"/>
      <c r="DQ30" s="163"/>
    </row>
    <row r="31" spans="1:121" ht="5.0999999999999996" customHeight="1" x14ac:dyDescent="0.2">
      <c r="A31" s="205"/>
      <c r="B31" s="126"/>
      <c r="C31" s="126"/>
      <c r="D31" s="126"/>
      <c r="E31" s="126"/>
      <c r="F31" s="126"/>
      <c r="G31" s="126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5"/>
      <c r="AB31" s="125"/>
      <c r="AC31" s="125"/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5"/>
      <c r="AO31" s="125"/>
      <c r="AP31" s="550"/>
      <c r="AQ31" s="550"/>
      <c r="AR31" s="550"/>
      <c r="AS31" s="418"/>
      <c r="AT31" s="161"/>
    </row>
    <row r="32" spans="1:121" s="164" customFormat="1" ht="15" customHeight="1" x14ac:dyDescent="0.2">
      <c r="A32" s="435" t="s">
        <v>456</v>
      </c>
      <c r="B32" s="160">
        <f t="shared" ref="B32:AK32" si="9">SUM(B33:B34)</f>
        <v>10571</v>
      </c>
      <c r="C32" s="160">
        <f t="shared" si="9"/>
        <v>11577</v>
      </c>
      <c r="D32" s="160">
        <f t="shared" si="9"/>
        <v>12107</v>
      </c>
      <c r="E32" s="160">
        <f t="shared" si="9"/>
        <v>10198</v>
      </c>
      <c r="F32" s="160">
        <f t="shared" si="9"/>
        <v>10996</v>
      </c>
      <c r="G32" s="160">
        <f t="shared" si="9"/>
        <v>13922</v>
      </c>
      <c r="H32" s="161">
        <f t="shared" si="9"/>
        <v>15691</v>
      </c>
      <c r="I32" s="161">
        <f t="shared" si="9"/>
        <v>16397</v>
      </c>
      <c r="J32" s="161">
        <f t="shared" si="9"/>
        <v>18967</v>
      </c>
      <c r="K32" s="161">
        <f t="shared" si="9"/>
        <v>22009</v>
      </c>
      <c r="L32" s="161">
        <f t="shared" si="9"/>
        <v>23278</v>
      </c>
      <c r="M32" s="161">
        <f t="shared" si="9"/>
        <v>27884</v>
      </c>
      <c r="N32" s="161">
        <f t="shared" si="9"/>
        <v>26064</v>
      </c>
      <c r="O32" s="161">
        <f t="shared" si="9"/>
        <v>29202</v>
      </c>
      <c r="P32" s="161">
        <f t="shared" si="9"/>
        <v>34018</v>
      </c>
      <c r="Q32" s="161">
        <f t="shared" si="9"/>
        <v>30850</v>
      </c>
      <c r="R32" s="161">
        <f t="shared" si="9"/>
        <v>40962</v>
      </c>
      <c r="S32" s="161">
        <f t="shared" si="9"/>
        <v>44223</v>
      </c>
      <c r="T32" s="161">
        <f t="shared" si="9"/>
        <v>45156</v>
      </c>
      <c r="U32" s="161">
        <f t="shared" si="9"/>
        <v>43303</v>
      </c>
      <c r="V32" s="161">
        <f t="shared" si="9"/>
        <v>41308</v>
      </c>
      <c r="W32" s="161">
        <f t="shared" si="9"/>
        <v>42529</v>
      </c>
      <c r="X32" s="161">
        <f t="shared" si="9"/>
        <v>77163</v>
      </c>
      <c r="Y32" s="161">
        <f t="shared" si="9"/>
        <v>75751</v>
      </c>
      <c r="Z32" s="161">
        <f t="shared" si="9"/>
        <v>70817</v>
      </c>
      <c r="AA32" s="161">
        <f t="shared" si="9"/>
        <v>66499</v>
      </c>
      <c r="AB32" s="161">
        <f t="shared" si="9"/>
        <v>75915</v>
      </c>
      <c r="AC32" s="161">
        <f t="shared" si="9"/>
        <v>70468</v>
      </c>
      <c r="AD32" s="161">
        <f t="shared" si="9"/>
        <v>66573</v>
      </c>
      <c r="AE32" s="161">
        <f t="shared" si="9"/>
        <v>74741</v>
      </c>
      <c r="AF32" s="161">
        <f t="shared" si="9"/>
        <v>95092</v>
      </c>
      <c r="AG32" s="161">
        <f t="shared" si="9"/>
        <v>106239</v>
      </c>
      <c r="AH32" s="161">
        <f t="shared" si="9"/>
        <v>68877</v>
      </c>
      <c r="AI32" s="161">
        <f t="shared" si="9"/>
        <v>77028</v>
      </c>
      <c r="AJ32" s="161">
        <f t="shared" si="9"/>
        <v>49282.29</v>
      </c>
      <c r="AK32" s="161">
        <f t="shared" si="9"/>
        <v>61004.57</v>
      </c>
      <c r="AL32" s="161">
        <f t="shared" ref="AL32:AQ32" si="10">SUM(AL33:AL34)</f>
        <v>77460</v>
      </c>
      <c r="AM32" s="161">
        <f t="shared" si="10"/>
        <v>61164</v>
      </c>
      <c r="AN32" s="161">
        <f t="shared" si="10"/>
        <v>76610</v>
      </c>
      <c r="AO32" s="161">
        <f t="shared" si="10"/>
        <v>104366.3</v>
      </c>
      <c r="AP32" s="376">
        <f t="shared" si="10"/>
        <v>93579</v>
      </c>
      <c r="AQ32" s="376">
        <f t="shared" si="10"/>
        <v>76102</v>
      </c>
      <c r="AR32" s="376">
        <f t="shared" ref="AR32:AS32" si="11">SUM(AR33:AR34)</f>
        <v>83397</v>
      </c>
      <c r="AS32" s="377">
        <f t="shared" si="11"/>
        <v>72377</v>
      </c>
      <c r="AT32" s="161"/>
      <c r="AU32" s="161"/>
      <c r="AV32" s="161"/>
      <c r="AW32" s="161"/>
      <c r="AX32" s="161"/>
      <c r="AY32" s="161"/>
      <c r="AZ32" s="161"/>
      <c r="BA32" s="161"/>
      <c r="BB32" s="161"/>
      <c r="BC32" s="161"/>
      <c r="BD32" s="161"/>
      <c r="BE32" s="161"/>
      <c r="BF32" s="161"/>
      <c r="BG32" s="161"/>
      <c r="BH32" s="161"/>
      <c r="BI32" s="161"/>
      <c r="BJ32" s="161"/>
      <c r="BK32" s="161"/>
      <c r="BL32" s="161"/>
      <c r="BM32" s="161"/>
      <c r="BN32" s="161"/>
      <c r="BO32" s="161"/>
      <c r="BP32" s="161"/>
      <c r="BQ32" s="161"/>
      <c r="BR32" s="161"/>
      <c r="BS32" s="161"/>
      <c r="BT32" s="161"/>
      <c r="BU32" s="161"/>
      <c r="BV32" s="161"/>
      <c r="BW32" s="161"/>
      <c r="BX32" s="161"/>
      <c r="BY32" s="161"/>
      <c r="BZ32" s="161"/>
      <c r="CA32" s="161"/>
      <c r="CB32" s="161"/>
      <c r="CC32" s="161"/>
      <c r="CD32" s="161"/>
      <c r="CE32" s="161"/>
      <c r="CF32" s="161"/>
      <c r="CG32" s="161"/>
      <c r="CH32" s="161"/>
      <c r="CI32" s="161"/>
      <c r="CJ32" s="161"/>
      <c r="CK32" s="161"/>
      <c r="CL32" s="161"/>
      <c r="CM32" s="161"/>
      <c r="CN32" s="161"/>
      <c r="CO32" s="161"/>
      <c r="CP32" s="161"/>
      <c r="CQ32" s="161"/>
      <c r="CR32" s="161"/>
      <c r="CS32" s="161"/>
      <c r="CT32" s="161"/>
      <c r="CU32" s="161"/>
      <c r="CV32" s="161"/>
      <c r="CW32" s="161"/>
      <c r="CX32" s="161"/>
      <c r="CY32" s="161"/>
      <c r="CZ32" s="161"/>
      <c r="DA32" s="161"/>
      <c r="DB32" s="161"/>
      <c r="DC32" s="161"/>
      <c r="DD32" s="161"/>
      <c r="DE32" s="161"/>
      <c r="DF32" s="161"/>
      <c r="DG32" s="161"/>
      <c r="DH32" s="161"/>
      <c r="DI32" s="161"/>
      <c r="DJ32" s="161"/>
      <c r="DK32" s="161"/>
      <c r="DL32" s="161"/>
      <c r="DM32" s="161"/>
      <c r="DN32" s="161"/>
      <c r="DO32" s="161"/>
      <c r="DP32" s="161"/>
      <c r="DQ32" s="163"/>
    </row>
    <row r="33" spans="1:121" s="164" customFormat="1" ht="15" customHeight="1" x14ac:dyDescent="0.2">
      <c r="A33" s="434" t="s">
        <v>95</v>
      </c>
      <c r="B33" s="165">
        <v>5420</v>
      </c>
      <c r="C33" s="165">
        <v>7777</v>
      </c>
      <c r="D33" s="165">
        <v>7448</v>
      </c>
      <c r="E33" s="165">
        <v>4703</v>
      </c>
      <c r="F33" s="165">
        <v>5316</v>
      </c>
      <c r="G33" s="165">
        <v>6267</v>
      </c>
      <c r="H33" s="166">
        <v>6495</v>
      </c>
      <c r="I33" s="166">
        <v>6328</v>
      </c>
      <c r="J33" s="166">
        <v>7341</v>
      </c>
      <c r="K33" s="166">
        <v>7610</v>
      </c>
      <c r="L33" s="166">
        <v>9330</v>
      </c>
      <c r="M33" s="166">
        <v>10429</v>
      </c>
      <c r="N33" s="166">
        <v>7905</v>
      </c>
      <c r="O33" s="166">
        <v>8051</v>
      </c>
      <c r="P33" s="166">
        <v>7895</v>
      </c>
      <c r="Q33" s="166">
        <v>7019</v>
      </c>
      <c r="R33" s="166">
        <v>8268</v>
      </c>
      <c r="S33" s="166">
        <v>9489</v>
      </c>
      <c r="T33" s="166">
        <v>10478</v>
      </c>
      <c r="U33" s="166">
        <v>7581</v>
      </c>
      <c r="V33" s="166">
        <v>7838</v>
      </c>
      <c r="W33" s="166">
        <v>9817</v>
      </c>
      <c r="X33" s="166">
        <v>34877</v>
      </c>
      <c r="Y33" s="166">
        <v>33529</v>
      </c>
      <c r="Z33" s="166">
        <v>27878</v>
      </c>
      <c r="AA33" s="166">
        <v>21701</v>
      </c>
      <c r="AB33" s="166">
        <v>35540</v>
      </c>
      <c r="AC33" s="166">
        <v>23970</v>
      </c>
      <c r="AD33" s="166">
        <v>17291</v>
      </c>
      <c r="AE33" s="166">
        <v>26954</v>
      </c>
      <c r="AF33" s="166">
        <v>42283</v>
      </c>
      <c r="AG33" s="166">
        <v>34688</v>
      </c>
      <c r="AH33" s="166">
        <v>31409</v>
      </c>
      <c r="AI33" s="166">
        <v>37302</v>
      </c>
      <c r="AJ33" s="166">
        <v>22528.27</v>
      </c>
      <c r="AK33" s="166">
        <v>33417.67</v>
      </c>
      <c r="AL33" s="166">
        <v>57437</v>
      </c>
      <c r="AM33" s="166">
        <v>47950</v>
      </c>
      <c r="AN33" s="166">
        <v>65768</v>
      </c>
      <c r="AO33" s="166">
        <v>90283.38</v>
      </c>
      <c r="AP33" s="373">
        <v>82363</v>
      </c>
      <c r="AQ33" s="373">
        <v>57591</v>
      </c>
      <c r="AR33" s="373">
        <f>65341+1</f>
        <v>65342</v>
      </c>
      <c r="AS33" s="374">
        <v>58724</v>
      </c>
      <c r="AT33" s="161"/>
      <c r="AU33" s="166"/>
      <c r="AV33" s="166"/>
      <c r="AW33" s="166"/>
      <c r="AX33" s="166"/>
      <c r="AY33" s="166"/>
      <c r="AZ33" s="166"/>
      <c r="BA33" s="166"/>
      <c r="BB33" s="166"/>
      <c r="BC33" s="166"/>
      <c r="BD33" s="166"/>
      <c r="BE33" s="166"/>
      <c r="BF33" s="166"/>
      <c r="BG33" s="166"/>
      <c r="BH33" s="166"/>
      <c r="BI33" s="166"/>
      <c r="BJ33" s="166"/>
      <c r="BK33" s="166"/>
      <c r="BL33" s="166"/>
      <c r="BM33" s="166"/>
      <c r="BN33" s="166"/>
      <c r="BO33" s="166"/>
      <c r="BP33" s="166"/>
      <c r="BQ33" s="166"/>
      <c r="BR33" s="166"/>
      <c r="BS33" s="166"/>
      <c r="BT33" s="166"/>
      <c r="BU33" s="166"/>
      <c r="BV33" s="166"/>
      <c r="BW33" s="166"/>
      <c r="BX33" s="166"/>
      <c r="BY33" s="166"/>
      <c r="BZ33" s="166"/>
      <c r="CA33" s="166"/>
      <c r="CB33" s="166"/>
      <c r="CC33" s="166"/>
      <c r="CD33" s="166"/>
      <c r="CE33" s="166"/>
      <c r="CF33" s="166"/>
      <c r="CG33" s="166"/>
      <c r="CH33" s="166"/>
      <c r="CI33" s="166"/>
      <c r="CJ33" s="166"/>
      <c r="CK33" s="166"/>
      <c r="CL33" s="166"/>
      <c r="CM33" s="166"/>
      <c r="CN33" s="166"/>
      <c r="CO33" s="166"/>
      <c r="CP33" s="166"/>
      <c r="CQ33" s="166"/>
      <c r="CR33" s="166"/>
      <c r="CS33" s="166"/>
      <c r="CT33" s="166"/>
      <c r="CU33" s="166"/>
      <c r="CV33" s="166"/>
      <c r="CW33" s="166"/>
      <c r="CX33" s="166"/>
      <c r="CY33" s="166"/>
      <c r="CZ33" s="166"/>
      <c r="DA33" s="166"/>
      <c r="DB33" s="166"/>
      <c r="DC33" s="166"/>
      <c r="DD33" s="166"/>
      <c r="DE33" s="166"/>
      <c r="DF33" s="166"/>
      <c r="DG33" s="166"/>
      <c r="DH33" s="166"/>
      <c r="DI33" s="166"/>
      <c r="DJ33" s="166"/>
      <c r="DK33" s="166"/>
      <c r="DL33" s="166"/>
      <c r="DM33" s="166"/>
      <c r="DN33" s="166"/>
      <c r="DO33" s="166"/>
      <c r="DP33" s="166"/>
      <c r="DQ33" s="167"/>
    </row>
    <row r="34" spans="1:121" s="164" customFormat="1" ht="15" customHeight="1" x14ac:dyDescent="0.2">
      <c r="A34" s="434" t="s">
        <v>11</v>
      </c>
      <c r="B34" s="165">
        <v>5151</v>
      </c>
      <c r="C34" s="165">
        <v>3800</v>
      </c>
      <c r="D34" s="165">
        <v>4659</v>
      </c>
      <c r="E34" s="165">
        <v>5495</v>
      </c>
      <c r="F34" s="165">
        <v>5680</v>
      </c>
      <c r="G34" s="165">
        <v>7655</v>
      </c>
      <c r="H34" s="166">
        <v>9196</v>
      </c>
      <c r="I34" s="166">
        <v>10069</v>
      </c>
      <c r="J34" s="166">
        <v>11626</v>
      </c>
      <c r="K34" s="166">
        <v>14399</v>
      </c>
      <c r="L34" s="166">
        <v>13948</v>
      </c>
      <c r="M34" s="166">
        <v>17455</v>
      </c>
      <c r="N34" s="166">
        <v>18159</v>
      </c>
      <c r="O34" s="166">
        <v>21151</v>
      </c>
      <c r="P34" s="166">
        <v>26123</v>
      </c>
      <c r="Q34" s="166">
        <v>23831</v>
      </c>
      <c r="R34" s="166">
        <v>32694</v>
      </c>
      <c r="S34" s="166">
        <v>34734</v>
      </c>
      <c r="T34" s="166">
        <v>34678</v>
      </c>
      <c r="U34" s="166">
        <v>35722</v>
      </c>
      <c r="V34" s="166">
        <v>33470</v>
      </c>
      <c r="W34" s="166">
        <v>32712</v>
      </c>
      <c r="X34" s="166">
        <v>42286</v>
      </c>
      <c r="Y34" s="166">
        <v>42222</v>
      </c>
      <c r="Z34" s="166">
        <v>42939</v>
      </c>
      <c r="AA34" s="166">
        <v>44798</v>
      </c>
      <c r="AB34" s="166">
        <v>40375</v>
      </c>
      <c r="AC34" s="166">
        <v>46498</v>
      </c>
      <c r="AD34" s="166">
        <v>49282</v>
      </c>
      <c r="AE34" s="166">
        <v>47787</v>
      </c>
      <c r="AF34" s="166">
        <v>52809</v>
      </c>
      <c r="AG34" s="166">
        <v>71551</v>
      </c>
      <c r="AH34" s="166">
        <v>37468</v>
      </c>
      <c r="AI34" s="166">
        <v>39726</v>
      </c>
      <c r="AJ34" s="166">
        <v>26754.02</v>
      </c>
      <c r="AK34" s="166">
        <v>27586.9</v>
      </c>
      <c r="AL34" s="166">
        <v>20023</v>
      </c>
      <c r="AM34" s="166">
        <v>13214</v>
      </c>
      <c r="AN34" s="166">
        <v>10842</v>
      </c>
      <c r="AO34" s="166">
        <v>14082.92</v>
      </c>
      <c r="AP34" s="373">
        <v>11216</v>
      </c>
      <c r="AQ34" s="373">
        <v>18511</v>
      </c>
      <c r="AR34" s="373">
        <v>18055</v>
      </c>
      <c r="AS34" s="374">
        <v>13653</v>
      </c>
      <c r="AT34" s="161"/>
      <c r="AU34" s="166"/>
      <c r="AV34" s="166"/>
      <c r="AW34" s="166"/>
      <c r="AX34" s="166"/>
      <c r="AY34" s="166"/>
      <c r="AZ34" s="166"/>
      <c r="BA34" s="166"/>
      <c r="BB34" s="166"/>
      <c r="BC34" s="166"/>
      <c r="BD34" s="166"/>
      <c r="BE34" s="166"/>
      <c r="BF34" s="166"/>
      <c r="BG34" s="166"/>
      <c r="BH34" s="166"/>
      <c r="BI34" s="166"/>
      <c r="BJ34" s="166"/>
      <c r="BK34" s="166"/>
      <c r="BL34" s="166"/>
      <c r="BM34" s="166"/>
      <c r="BN34" s="166"/>
      <c r="BO34" s="166"/>
      <c r="BP34" s="166"/>
      <c r="BQ34" s="166"/>
      <c r="BR34" s="166"/>
      <c r="BS34" s="166"/>
      <c r="BT34" s="166"/>
      <c r="BU34" s="166"/>
      <c r="BV34" s="166"/>
      <c r="BW34" s="166"/>
      <c r="BX34" s="166"/>
      <c r="BY34" s="166"/>
      <c r="BZ34" s="166"/>
      <c r="CA34" s="166"/>
      <c r="CB34" s="166"/>
      <c r="CC34" s="166"/>
      <c r="CD34" s="166"/>
      <c r="CE34" s="166"/>
      <c r="CF34" s="166"/>
      <c r="CG34" s="166"/>
      <c r="CH34" s="166"/>
      <c r="CI34" s="166"/>
      <c r="CJ34" s="166"/>
      <c r="CK34" s="166"/>
      <c r="CL34" s="166"/>
      <c r="CM34" s="166"/>
      <c r="CN34" s="166"/>
      <c r="CO34" s="166"/>
      <c r="CP34" s="166"/>
      <c r="CQ34" s="166"/>
      <c r="CR34" s="166"/>
      <c r="CS34" s="166"/>
      <c r="CT34" s="166"/>
      <c r="CU34" s="166"/>
      <c r="CV34" s="166"/>
      <c r="CW34" s="166"/>
      <c r="CX34" s="166"/>
      <c r="CY34" s="166"/>
      <c r="CZ34" s="166"/>
      <c r="DA34" s="166"/>
      <c r="DB34" s="166"/>
      <c r="DC34" s="166"/>
      <c r="DD34" s="166"/>
      <c r="DE34" s="166"/>
      <c r="DF34" s="166"/>
      <c r="DG34" s="166"/>
      <c r="DH34" s="166"/>
      <c r="DI34" s="166"/>
      <c r="DJ34" s="166"/>
      <c r="DK34" s="166"/>
      <c r="DL34" s="166"/>
      <c r="DM34" s="166"/>
      <c r="DN34" s="166"/>
      <c r="DO34" s="166"/>
      <c r="DP34" s="166"/>
      <c r="DQ34" s="167"/>
    </row>
    <row r="35" spans="1:121" ht="5.0999999999999996" customHeight="1" x14ac:dyDescent="0.2">
      <c r="A35" s="206"/>
      <c r="B35" s="124"/>
      <c r="C35" s="124"/>
      <c r="D35" s="124"/>
      <c r="E35" s="124"/>
      <c r="F35" s="124"/>
      <c r="G35" s="124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V35" s="102"/>
      <c r="W35" s="102"/>
      <c r="X35" s="123"/>
      <c r="Y35" s="123"/>
      <c r="Z35" s="102"/>
      <c r="AA35" s="102"/>
      <c r="AB35" s="123"/>
      <c r="AC35" s="123"/>
      <c r="AD35" s="123"/>
      <c r="AE35" s="123"/>
      <c r="AF35" s="123"/>
      <c r="AG35" s="123"/>
      <c r="AH35" s="123"/>
      <c r="AI35" s="123"/>
      <c r="AJ35" s="123"/>
      <c r="AK35" s="123"/>
      <c r="AL35" s="123"/>
      <c r="AM35" s="123"/>
      <c r="AN35" s="123"/>
      <c r="AO35" s="123"/>
      <c r="AP35" s="551"/>
      <c r="AQ35" s="551"/>
      <c r="AR35" s="551"/>
      <c r="AS35" s="551"/>
      <c r="AT35" s="161">
        <f t="shared" ref="AT35" si="12">AR35-AS35</f>
        <v>0</v>
      </c>
    </row>
    <row r="36" spans="1:121" s="178" customFormat="1" ht="15" customHeight="1" thickBot="1" x14ac:dyDescent="0.25">
      <c r="A36" s="175" t="s">
        <v>10</v>
      </c>
      <c r="B36" s="176">
        <f t="shared" ref="B36:AL36" si="13">B30+B32</f>
        <v>97534</v>
      </c>
      <c r="C36" s="176">
        <f t="shared" si="13"/>
        <v>103577</v>
      </c>
      <c r="D36" s="176">
        <f t="shared" si="13"/>
        <v>108098</v>
      </c>
      <c r="E36" s="176">
        <f t="shared" si="13"/>
        <v>114452</v>
      </c>
      <c r="F36" s="176">
        <f t="shared" si="13"/>
        <v>105167</v>
      </c>
      <c r="G36" s="176">
        <f t="shared" si="13"/>
        <v>118956</v>
      </c>
      <c r="H36" s="176">
        <f t="shared" si="13"/>
        <v>132372</v>
      </c>
      <c r="I36" s="176">
        <f t="shared" si="13"/>
        <v>131598</v>
      </c>
      <c r="J36" s="176">
        <f t="shared" si="13"/>
        <v>130816</v>
      </c>
      <c r="K36" s="176">
        <f t="shared" si="13"/>
        <v>146110</v>
      </c>
      <c r="L36" s="176">
        <f t="shared" si="13"/>
        <v>147724</v>
      </c>
      <c r="M36" s="176">
        <f t="shared" si="13"/>
        <v>146619</v>
      </c>
      <c r="N36" s="176">
        <f t="shared" si="13"/>
        <v>157309</v>
      </c>
      <c r="O36" s="176">
        <f t="shared" si="13"/>
        <v>156755</v>
      </c>
      <c r="P36" s="176">
        <f t="shared" si="13"/>
        <v>196080</v>
      </c>
      <c r="Q36" s="176">
        <f t="shared" si="13"/>
        <v>213518</v>
      </c>
      <c r="R36" s="176">
        <f t="shared" si="13"/>
        <v>217481</v>
      </c>
      <c r="S36" s="176">
        <f t="shared" si="13"/>
        <v>231425</v>
      </c>
      <c r="T36" s="176">
        <f t="shared" si="13"/>
        <v>244622</v>
      </c>
      <c r="U36" s="176">
        <f t="shared" si="13"/>
        <v>265723</v>
      </c>
      <c r="V36" s="176">
        <f t="shared" si="13"/>
        <v>294959</v>
      </c>
      <c r="W36" s="176">
        <f t="shared" si="13"/>
        <v>322507</v>
      </c>
      <c r="X36" s="176">
        <f t="shared" si="13"/>
        <v>319538</v>
      </c>
      <c r="Y36" s="176">
        <f t="shared" si="13"/>
        <v>315487</v>
      </c>
      <c r="Z36" s="176">
        <f t="shared" si="13"/>
        <v>300600</v>
      </c>
      <c r="AA36" s="176">
        <f t="shared" si="13"/>
        <v>309027</v>
      </c>
      <c r="AB36" s="176">
        <f t="shared" si="13"/>
        <v>313679.26133670006</v>
      </c>
      <c r="AC36" s="176">
        <f t="shared" si="13"/>
        <v>313327</v>
      </c>
      <c r="AD36" s="176">
        <f t="shared" si="13"/>
        <v>321970</v>
      </c>
      <c r="AE36" s="176">
        <f t="shared" si="13"/>
        <v>333199.83887052001</v>
      </c>
      <c r="AF36" s="176">
        <f t="shared" si="13"/>
        <v>343445</v>
      </c>
      <c r="AG36" s="176">
        <f t="shared" si="13"/>
        <v>346358</v>
      </c>
      <c r="AH36" s="176">
        <f t="shared" si="13"/>
        <v>344430</v>
      </c>
      <c r="AI36" s="176">
        <f t="shared" si="13"/>
        <v>356115</v>
      </c>
      <c r="AJ36" s="176">
        <f t="shared" si="13"/>
        <v>364471.29</v>
      </c>
      <c r="AK36" s="176">
        <f t="shared" si="13"/>
        <v>407583.54757349996</v>
      </c>
      <c r="AL36" s="176">
        <f t="shared" si="13"/>
        <v>414926</v>
      </c>
      <c r="AM36" s="176">
        <f t="shared" ref="AM36:AR36" si="14">AM30+AM32</f>
        <v>437580</v>
      </c>
      <c r="AN36" s="176">
        <f t="shared" si="14"/>
        <v>509184</v>
      </c>
      <c r="AO36" s="176">
        <f t="shared" si="14"/>
        <v>549873.31988339999</v>
      </c>
      <c r="AP36" s="176">
        <f t="shared" si="14"/>
        <v>549700</v>
      </c>
      <c r="AQ36" s="176">
        <f t="shared" si="14"/>
        <v>540106.45786878001</v>
      </c>
      <c r="AR36" s="176">
        <f t="shared" si="14"/>
        <v>572099</v>
      </c>
      <c r="AS36" s="176">
        <f t="shared" ref="AS36" si="15">AS30+AS32</f>
        <v>584650</v>
      </c>
      <c r="AT36" s="193"/>
      <c r="AU36" s="193"/>
      <c r="AV36" s="193"/>
      <c r="AW36" s="193"/>
      <c r="AX36" s="193"/>
      <c r="AY36" s="193"/>
      <c r="AZ36" s="193"/>
      <c r="BA36" s="193"/>
      <c r="BB36" s="193"/>
      <c r="BC36" s="193"/>
      <c r="BD36" s="193"/>
      <c r="BE36" s="193"/>
      <c r="BF36" s="193"/>
      <c r="BG36" s="193"/>
      <c r="BH36" s="193"/>
      <c r="BI36" s="193"/>
      <c r="BJ36" s="193"/>
      <c r="BK36" s="193"/>
      <c r="BL36" s="193"/>
      <c r="BM36" s="193"/>
      <c r="BN36" s="193"/>
      <c r="BO36" s="193"/>
      <c r="BP36" s="193"/>
      <c r="BQ36" s="193"/>
      <c r="BR36" s="193"/>
      <c r="BS36" s="193"/>
      <c r="BT36" s="193"/>
      <c r="BU36" s="193"/>
      <c r="BV36" s="193"/>
      <c r="BW36" s="193"/>
      <c r="BX36" s="193"/>
      <c r="BY36" s="193"/>
      <c r="BZ36" s="193"/>
      <c r="CA36" s="193"/>
      <c r="CB36" s="193"/>
      <c r="CC36" s="193"/>
      <c r="CD36" s="193"/>
      <c r="CE36" s="193"/>
      <c r="CF36" s="193"/>
      <c r="CG36" s="193"/>
      <c r="CH36" s="193"/>
      <c r="CI36" s="193"/>
      <c r="CJ36" s="193"/>
      <c r="CK36" s="193"/>
      <c r="CL36" s="193"/>
      <c r="CM36" s="193"/>
      <c r="CN36" s="193"/>
      <c r="CO36" s="193"/>
      <c r="CP36" s="193"/>
      <c r="CQ36" s="193"/>
      <c r="CR36" s="193"/>
      <c r="CS36" s="193"/>
      <c r="CT36" s="193"/>
      <c r="CU36" s="193"/>
      <c r="CV36" s="193"/>
      <c r="CW36" s="193"/>
      <c r="CX36" s="193"/>
      <c r="CY36" s="193"/>
      <c r="CZ36" s="193"/>
      <c r="DA36" s="193"/>
      <c r="DB36" s="193"/>
      <c r="DC36" s="193"/>
      <c r="DD36" s="193"/>
      <c r="DE36" s="193"/>
      <c r="DF36" s="193"/>
      <c r="DG36" s="193"/>
      <c r="DH36" s="193"/>
      <c r="DI36" s="193"/>
      <c r="DJ36" s="193"/>
      <c r="DK36" s="193"/>
      <c r="DL36" s="193"/>
      <c r="DM36" s="193"/>
      <c r="DN36" s="193"/>
      <c r="DO36" s="193"/>
      <c r="DP36" s="193"/>
      <c r="DQ36" s="193"/>
    </row>
    <row r="37" spans="1:121" ht="12.95" customHeight="1" thickTop="1" x14ac:dyDescent="0.2">
      <c r="A37" s="206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9"/>
      <c r="AC37" s="29"/>
      <c r="AD37" s="29"/>
      <c r="AE37" s="29"/>
      <c r="AF37" s="29"/>
      <c r="AG37" s="29"/>
    </row>
    <row r="38" spans="1:121" ht="12.95" customHeight="1" x14ac:dyDescent="0.2">
      <c r="A38" s="206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9"/>
      <c r="AC38" s="29"/>
      <c r="AD38" s="29"/>
      <c r="AE38" s="29"/>
      <c r="AF38" s="29"/>
      <c r="AG38" s="29"/>
    </row>
    <row r="39" spans="1:121" ht="12.95" customHeight="1" x14ac:dyDescent="0.2">
      <c r="A39" s="206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30"/>
      <c r="AC39" s="30"/>
      <c r="AD39" s="30"/>
      <c r="AE39" s="30"/>
      <c r="AF39" s="30"/>
      <c r="AG39" s="30"/>
    </row>
    <row r="40" spans="1:121" ht="12.95" customHeight="1" x14ac:dyDescent="0.2">
      <c r="A40" s="206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9"/>
      <c r="AC40" s="29"/>
      <c r="AD40" s="29"/>
      <c r="AE40" s="29"/>
      <c r="AF40" s="29"/>
      <c r="AG40" s="29"/>
    </row>
    <row r="41" spans="1:121" ht="12.95" customHeight="1" x14ac:dyDescent="0.2">
      <c r="A41" s="206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9"/>
      <c r="AC41" s="29"/>
      <c r="AD41" s="29"/>
      <c r="AE41" s="29"/>
      <c r="AF41" s="29"/>
      <c r="AG41" s="29"/>
    </row>
    <row r="42" spans="1:121" ht="12.95" customHeight="1" x14ac:dyDescent="0.2">
      <c r="A42" s="452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29"/>
      <c r="AC42" s="29"/>
      <c r="AD42" s="29"/>
      <c r="AE42" s="29"/>
      <c r="AF42" s="29"/>
      <c r="AG42" s="29"/>
    </row>
    <row r="43" spans="1:121" ht="12.95" customHeight="1" x14ac:dyDescent="0.2">
      <c r="A43" s="206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30"/>
      <c r="AC43" s="30"/>
      <c r="AD43" s="30"/>
      <c r="AE43" s="30"/>
      <c r="AF43" s="30"/>
      <c r="AG43" s="30"/>
    </row>
    <row r="44" spans="1:121" ht="12.95" customHeight="1" x14ac:dyDescent="0.2">
      <c r="A44" s="206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9"/>
      <c r="AC44" s="29"/>
      <c r="AD44" s="29"/>
      <c r="AE44" s="29"/>
      <c r="AF44" s="29"/>
      <c r="AG44" s="29"/>
    </row>
    <row r="45" spans="1:121" ht="12.95" customHeight="1" x14ac:dyDescent="0.2">
      <c r="A45" s="206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9"/>
      <c r="AC45" s="29"/>
      <c r="AD45" s="29"/>
      <c r="AE45" s="29"/>
      <c r="AF45" s="29"/>
      <c r="AG45" s="29"/>
    </row>
    <row r="46" spans="1:121" ht="12.95" customHeight="1" x14ac:dyDescent="0.2">
      <c r="A46" s="206"/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9"/>
      <c r="AC46" s="29"/>
      <c r="AD46" s="29"/>
      <c r="AE46" s="29"/>
      <c r="AF46" s="29"/>
      <c r="AG46" s="29"/>
    </row>
    <row r="47" spans="1:121" ht="12.95" customHeight="1" x14ac:dyDescent="0.2">
      <c r="A47" s="206"/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30"/>
      <c r="AC47" s="30"/>
      <c r="AD47" s="30"/>
      <c r="AE47" s="30"/>
      <c r="AF47" s="30"/>
      <c r="AG47" s="30"/>
    </row>
    <row r="48" spans="1:121" ht="12.95" customHeight="1" x14ac:dyDescent="0.2">
      <c r="A48" s="206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30"/>
      <c r="AC48" s="30"/>
      <c r="AD48" s="30"/>
      <c r="AE48" s="30"/>
      <c r="AF48" s="30"/>
      <c r="AG48" s="30"/>
    </row>
    <row r="49" spans="1:33" ht="12.95" customHeight="1" x14ac:dyDescent="0.2">
      <c r="A49" s="206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9"/>
      <c r="AC49" s="29"/>
      <c r="AD49" s="29"/>
      <c r="AE49" s="29"/>
      <c r="AF49" s="29"/>
      <c r="AG49" s="29"/>
    </row>
    <row r="50" spans="1:33" ht="12.95" customHeight="1" x14ac:dyDescent="0.2">
      <c r="A50" s="206"/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9"/>
      <c r="AC50" s="29"/>
      <c r="AD50" s="29"/>
      <c r="AE50" s="29"/>
      <c r="AF50" s="29"/>
      <c r="AG50" s="29"/>
    </row>
    <row r="51" spans="1:33" ht="12.95" customHeight="1" x14ac:dyDescent="0.2">
      <c r="A51" s="206"/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30"/>
      <c r="AC51" s="30"/>
      <c r="AD51" s="30"/>
      <c r="AE51" s="30"/>
      <c r="AF51" s="30"/>
      <c r="AG51" s="30"/>
    </row>
    <row r="52" spans="1:33" ht="12.95" customHeight="1" x14ac:dyDescent="0.2">
      <c r="A52" s="206"/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9"/>
      <c r="AC52" s="29"/>
      <c r="AD52" s="29"/>
      <c r="AE52" s="29"/>
      <c r="AF52" s="29"/>
      <c r="AG52" s="29"/>
    </row>
    <row r="53" spans="1:33" ht="12.95" customHeight="1" x14ac:dyDescent="0.2">
      <c r="A53" s="206"/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30"/>
      <c r="AC53" s="30"/>
      <c r="AD53" s="30"/>
      <c r="AE53" s="30"/>
      <c r="AF53" s="30"/>
      <c r="AG53" s="30"/>
    </row>
    <row r="54" spans="1:33" ht="12.95" customHeight="1" x14ac:dyDescent="0.2">
      <c r="A54" s="206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9"/>
      <c r="AC54" s="29"/>
      <c r="AD54" s="29"/>
      <c r="AE54" s="29"/>
      <c r="AF54" s="29"/>
      <c r="AG54" s="29"/>
    </row>
    <row r="55" spans="1:33" ht="12.95" customHeight="1" x14ac:dyDescent="0.2">
      <c r="A55" s="206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9"/>
      <c r="AC55" s="29"/>
      <c r="AD55" s="29"/>
      <c r="AE55" s="29"/>
      <c r="AF55" s="29"/>
      <c r="AG55" s="29"/>
    </row>
    <row r="56" spans="1:33" ht="12.95" customHeight="1" x14ac:dyDescent="0.2">
      <c r="A56" s="206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9"/>
      <c r="AC56" s="29"/>
      <c r="AD56" s="29"/>
      <c r="AE56" s="29"/>
      <c r="AF56" s="29"/>
      <c r="AG56" s="29"/>
    </row>
    <row r="57" spans="1:33" ht="12.95" customHeight="1" x14ac:dyDescent="0.2">
      <c r="A57" s="206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30"/>
      <c r="AC57" s="30"/>
      <c r="AD57" s="30"/>
      <c r="AE57" s="30"/>
      <c r="AF57" s="30"/>
      <c r="AG57" s="30"/>
    </row>
    <row r="58" spans="1:33" ht="12.95" customHeight="1" x14ac:dyDescent="0.2">
      <c r="A58" s="206"/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9"/>
      <c r="AC58" s="29"/>
      <c r="AD58" s="29"/>
      <c r="AE58" s="29"/>
      <c r="AF58" s="29"/>
      <c r="AG58" s="29"/>
    </row>
    <row r="59" spans="1:33" ht="11.1" customHeight="1" x14ac:dyDescent="0.2">
      <c r="A59" s="206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9"/>
      <c r="AC59" s="29"/>
      <c r="AD59" s="29"/>
      <c r="AE59" s="29"/>
      <c r="AF59" s="29"/>
      <c r="AG59" s="29"/>
    </row>
    <row r="60" spans="1:33" ht="11.1" customHeight="1" x14ac:dyDescent="0.2">
      <c r="A60" s="206"/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9"/>
      <c r="AC60" s="29"/>
      <c r="AD60" s="29"/>
      <c r="AE60" s="29"/>
      <c r="AF60" s="29"/>
      <c r="AG60" s="29"/>
    </row>
    <row r="61" spans="1:33" ht="11.1" customHeight="1" x14ac:dyDescent="0.2">
      <c r="A61" s="206"/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9"/>
      <c r="AC61" s="29"/>
      <c r="AD61" s="29"/>
      <c r="AE61" s="29"/>
      <c r="AF61" s="29"/>
      <c r="AG61" s="29"/>
    </row>
    <row r="62" spans="1:33" ht="11.1" customHeight="1" x14ac:dyDescent="0.2">
      <c r="A62" s="206"/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9"/>
      <c r="AC62" s="29"/>
      <c r="AD62" s="29"/>
      <c r="AE62" s="29"/>
      <c r="AF62" s="29"/>
      <c r="AG62" s="29"/>
    </row>
    <row r="63" spans="1:33" ht="11.1" customHeight="1" x14ac:dyDescent="0.2">
      <c r="A63" s="206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30"/>
      <c r="AC63" s="30"/>
      <c r="AD63" s="30"/>
      <c r="AE63" s="30"/>
      <c r="AF63" s="30"/>
      <c r="AG63" s="30"/>
    </row>
    <row r="64" spans="1:33" ht="11.1" customHeight="1" x14ac:dyDescent="0.2">
      <c r="A64" s="206"/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9"/>
      <c r="AC64" s="29"/>
      <c r="AD64" s="29"/>
      <c r="AE64" s="29"/>
      <c r="AF64" s="29"/>
      <c r="AG64" s="29"/>
    </row>
    <row r="65" spans="1:33" ht="11.1" customHeight="1" x14ac:dyDescent="0.2">
      <c r="A65" s="169"/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0"/>
      <c r="AC65" s="30"/>
      <c r="AD65" s="30"/>
      <c r="AE65" s="30"/>
      <c r="AF65" s="30"/>
      <c r="AG65" s="30"/>
    </row>
    <row r="66" spans="1:33" ht="11.1" customHeight="1" x14ac:dyDescent="0.2">
      <c r="A66" s="169"/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0"/>
      <c r="AC66" s="30"/>
      <c r="AD66" s="30"/>
      <c r="AE66" s="30"/>
      <c r="AF66" s="30"/>
      <c r="AG66" s="30"/>
    </row>
    <row r="67" spans="1:33" ht="11.1" customHeight="1" x14ac:dyDescent="0.2">
      <c r="A67" s="206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30"/>
      <c r="AC67" s="30"/>
      <c r="AD67" s="30"/>
      <c r="AE67" s="30"/>
      <c r="AF67" s="30"/>
      <c r="AG67" s="30"/>
    </row>
    <row r="68" spans="1:33" ht="11.1" customHeight="1" x14ac:dyDescent="0.2">
      <c r="A68" s="206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9"/>
      <c r="AC68" s="29"/>
      <c r="AD68" s="29"/>
      <c r="AE68" s="29"/>
      <c r="AF68" s="29"/>
      <c r="AG68" s="29"/>
    </row>
    <row r="69" spans="1:33" ht="11.1" customHeight="1" x14ac:dyDescent="0.2">
      <c r="A69" s="206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9"/>
      <c r="AC69" s="29"/>
      <c r="AD69" s="29"/>
      <c r="AE69" s="29"/>
      <c r="AF69" s="29"/>
      <c r="AG69" s="29"/>
    </row>
    <row r="70" spans="1:33" ht="11.1" customHeight="1" x14ac:dyDescent="0.2">
      <c r="A70" s="206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9"/>
      <c r="AC70" s="29"/>
      <c r="AD70" s="29"/>
      <c r="AE70" s="29"/>
      <c r="AF70" s="29"/>
      <c r="AG70" s="29"/>
    </row>
    <row r="71" spans="1:33" ht="11.1" customHeight="1" x14ac:dyDescent="0.2">
      <c r="A71" s="206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9"/>
      <c r="AC71" s="29"/>
      <c r="AD71" s="29"/>
      <c r="AE71" s="29"/>
      <c r="AF71" s="29"/>
      <c r="AG71" s="29"/>
    </row>
    <row r="72" spans="1:33" ht="11.1" customHeight="1" x14ac:dyDescent="0.2">
      <c r="A72" s="452"/>
      <c r="B72" s="31"/>
      <c r="C72" s="31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29"/>
      <c r="AC72" s="29"/>
      <c r="AD72" s="29"/>
      <c r="AE72" s="29"/>
      <c r="AF72" s="29"/>
      <c r="AG72" s="29"/>
    </row>
    <row r="73" spans="1:33" ht="11.1" customHeight="1" x14ac:dyDescent="0.2">
      <c r="A73" s="143"/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29"/>
      <c r="AC73" s="29"/>
      <c r="AD73" s="29"/>
      <c r="AE73" s="29"/>
      <c r="AF73" s="29"/>
      <c r="AG73" s="29"/>
    </row>
    <row r="74" spans="1:33" ht="11.1" customHeight="1" x14ac:dyDescent="0.2">
      <c r="A74" s="452"/>
      <c r="B74" s="31"/>
      <c r="C74" s="31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29"/>
      <c r="AC74" s="29"/>
      <c r="AD74" s="29"/>
      <c r="AE74" s="29"/>
      <c r="AF74" s="29"/>
      <c r="AG74" s="29"/>
    </row>
    <row r="75" spans="1:33" ht="11.1" customHeight="1" x14ac:dyDescent="0.2">
      <c r="A75" s="206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9"/>
      <c r="AC75" s="29"/>
      <c r="AD75" s="29"/>
      <c r="AE75" s="29"/>
      <c r="AF75" s="29"/>
      <c r="AG75" s="29"/>
    </row>
    <row r="76" spans="1:33" ht="11.1" customHeight="1" x14ac:dyDescent="0.2">
      <c r="A76" s="453"/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0"/>
      <c r="AC76" s="30"/>
      <c r="AD76" s="30"/>
      <c r="AE76" s="30"/>
      <c r="AF76" s="30"/>
      <c r="AG76" s="30"/>
    </row>
    <row r="77" spans="1:33" ht="11.1" customHeight="1" x14ac:dyDescent="0.2">
      <c r="A77" s="454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29"/>
      <c r="AC77" s="29"/>
      <c r="AD77" s="29"/>
      <c r="AE77" s="29"/>
      <c r="AF77" s="29"/>
      <c r="AG77" s="29"/>
    </row>
    <row r="78" spans="1:33" ht="11.1" customHeight="1" x14ac:dyDescent="0.2">
      <c r="A78" s="453"/>
      <c r="B78" s="34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0"/>
      <c r="AC78" s="30"/>
      <c r="AD78" s="30"/>
      <c r="AE78" s="30"/>
      <c r="AF78" s="30"/>
      <c r="AG78" s="30"/>
    </row>
    <row r="79" spans="1:33" ht="11.1" customHeight="1" x14ac:dyDescent="0.2">
      <c r="A79" s="453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0"/>
      <c r="AC79" s="30"/>
      <c r="AD79" s="30"/>
      <c r="AE79" s="30"/>
      <c r="AF79" s="30"/>
      <c r="AG79" s="30"/>
    </row>
    <row r="80" spans="1:33" ht="11.1" customHeight="1" x14ac:dyDescent="0.2">
      <c r="A80" s="452"/>
      <c r="B80" s="31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0"/>
      <c r="AC80" s="30"/>
      <c r="AD80" s="30"/>
      <c r="AE80" s="30"/>
      <c r="AF80" s="30"/>
      <c r="AG80" s="30"/>
    </row>
  </sheetData>
  <customSheetViews>
    <customSheetView guid="{B7440494-8EA9-4463-9947-E5D20E74049D}" showGridLines="0">
      <pane xSplit="1" ySplit="10" topLeftCell="AD23" activePane="bottomRight" state="frozen"/>
      <selection pane="bottomRight" activeCell="AO6" sqref="AO6"/>
      <colBreaks count="4" manualBreakCount="4">
        <brk id="9" max="36" man="1"/>
        <brk id="17" max="36" man="1"/>
        <brk id="25" max="36" man="1"/>
        <brk id="33" max="36" man="1"/>
      </colBreaks>
      <pageMargins left="0" right="0" top="0.19685039370078741" bottom="0" header="0" footer="0"/>
      <printOptions horizontalCentered="1"/>
      <pageSetup paperSize="9" scale="83" orientation="landscape" r:id="rId1"/>
      <headerFooter alignWithMargins="0">
        <oddHeader>&amp;R&amp;P/&amp;N</oddHeader>
      </headerFooter>
    </customSheetView>
    <customSheetView guid="{6D89F6EF-F5AD-478F-979A-5AF1BC78EF91}" showGridLines="0">
      <pane xSplit="2" ySplit="11" topLeftCell="C12" activePane="bottomRight" state="frozen"/>
      <selection pane="bottomRight" activeCell="C12" sqref="C12"/>
      <colBreaks count="3" manualBreakCount="3">
        <brk id="9" max="37" man="1"/>
        <brk id="25" max="37" man="1"/>
        <brk id="41" max="37" man="1"/>
      </colBreaks>
      <pageMargins left="0" right="0" top="0.55118110236220474" bottom="0" header="0" footer="0"/>
      <printOptions horizontalCentered="1"/>
      <pageSetup paperSize="9" orientation="landscape" r:id="rId2"/>
      <headerFooter alignWithMargins="0"/>
    </customSheetView>
    <customSheetView guid="{A9134056-6B1C-4A42-AFE9-9712EF3EF3D4}" showPageBreaks="1" showGridLines="0" printArea="1">
      <pane xSplit="2" ySplit="11" topLeftCell="C12" activePane="bottomRight" state="frozen"/>
      <selection pane="bottomRight" activeCell="C12" sqref="C12"/>
      <colBreaks count="4" manualBreakCount="4">
        <brk id="9" max="37" man="1"/>
        <brk id="18" max="37" man="1"/>
        <brk id="25" max="37" man="1"/>
        <brk id="41" max="37" man="1"/>
      </colBreaks>
      <pageMargins left="0" right="0" top="0.55118110236220474" bottom="0" header="0" footer="0"/>
      <printOptions horizontalCentered="1"/>
      <pageSetup paperSize="9" orientation="landscape" r:id="rId3"/>
      <headerFooter alignWithMargins="0"/>
    </customSheetView>
  </customSheetViews>
  <hyperlinks>
    <hyperlink ref="AS6" location="Índex!E9" display="Índex"/>
  </hyperlinks>
  <printOptions horizontalCentered="1" gridLinesSet="0"/>
  <pageMargins left="0" right="0" top="0.39370078740157483" bottom="0" header="0" footer="0"/>
  <pageSetup paperSize="9" orientation="landscape" r:id="rId4"/>
  <headerFooter alignWithMargins="0">
    <oddHeader>&amp;R&amp;P/&amp;N</oddHeader>
  </headerFooter>
  <colBreaks count="4" manualBreakCount="4">
    <brk id="9" max="36" man="1"/>
    <brk id="17" max="36" man="1"/>
    <brk id="25" max="36" man="1"/>
    <brk id="33" max="36" man="1"/>
  </colBreaks>
  <drawing r:id="rId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6"/>
  <dimension ref="A1:DQ77"/>
  <sheetViews>
    <sheetView showGridLines="0" zoomScaleNormal="100" workbookViewId="0">
      <pane xSplit="1" ySplit="11" topLeftCell="BT12" activePane="bottomRight" state="frozen"/>
      <selection activeCell="E9" sqref="E9"/>
      <selection pane="topRight" activeCell="E9" sqref="E9"/>
      <selection pane="bottomLeft" activeCell="E9" sqref="E9"/>
      <selection pane="bottomRight" activeCell="CK6" sqref="CK6"/>
    </sheetView>
  </sheetViews>
  <sheetFormatPr defaultColWidth="10.7109375" defaultRowHeight="12.75" x14ac:dyDescent="0.2"/>
  <cols>
    <col min="1" max="1" width="33.140625" style="310" bestFit="1" customWidth="1"/>
    <col min="2" max="2" width="8.7109375" style="310" customWidth="1"/>
    <col min="3" max="3" width="6.7109375" style="310" customWidth="1"/>
    <col min="4" max="4" width="8.7109375" style="310" customWidth="1"/>
    <col min="5" max="5" width="6.7109375" style="310" customWidth="1"/>
    <col min="6" max="6" width="8.7109375" style="310" customWidth="1"/>
    <col min="7" max="7" width="6.7109375" style="310" customWidth="1"/>
    <col min="8" max="8" width="8.7109375" style="310" customWidth="1"/>
    <col min="9" max="9" width="6.7109375" style="310" customWidth="1"/>
    <col min="10" max="10" width="8.7109375" style="310" customWidth="1"/>
    <col min="11" max="11" width="6.7109375" style="310" customWidth="1"/>
    <col min="12" max="12" width="8.7109375" style="310" customWidth="1"/>
    <col min="13" max="13" width="6.7109375" style="310" customWidth="1"/>
    <col min="14" max="14" width="8.7109375" style="310" customWidth="1"/>
    <col min="15" max="15" width="6.7109375" style="310" customWidth="1"/>
    <col min="16" max="16" width="8.7109375" style="310" customWidth="1"/>
    <col min="17" max="17" width="6.7109375" style="310" customWidth="1"/>
    <col min="18" max="18" width="8.7109375" style="310" customWidth="1"/>
    <col min="19" max="19" width="6.7109375" style="310" customWidth="1"/>
    <col min="20" max="20" width="8.7109375" style="310" customWidth="1"/>
    <col min="21" max="21" width="6.7109375" style="310" customWidth="1"/>
    <col min="22" max="22" width="8.7109375" style="310" customWidth="1"/>
    <col min="23" max="23" width="6.7109375" style="310" customWidth="1"/>
    <col min="24" max="24" width="8.7109375" style="310" customWidth="1"/>
    <col min="25" max="25" width="6.7109375" style="310" customWidth="1"/>
    <col min="26" max="26" width="8.7109375" style="310" customWidth="1"/>
    <col min="27" max="27" width="6.7109375" style="310" customWidth="1"/>
    <col min="28" max="28" width="8.7109375" style="310" customWidth="1"/>
    <col min="29" max="29" width="6.7109375" style="310" customWidth="1"/>
    <col min="30" max="30" width="8.7109375" style="310" customWidth="1"/>
    <col min="31" max="31" width="6.7109375" style="310" customWidth="1"/>
    <col min="32" max="32" width="8.7109375" style="310" customWidth="1"/>
    <col min="33" max="33" width="6.7109375" style="310" customWidth="1"/>
    <col min="34" max="34" width="8.7109375" style="310" customWidth="1"/>
    <col min="35" max="35" width="6.7109375" style="310" customWidth="1"/>
    <col min="36" max="36" width="8.7109375" style="310" customWidth="1"/>
    <col min="37" max="37" width="6.7109375" style="310" customWidth="1"/>
    <col min="38" max="38" width="8.7109375" style="310" customWidth="1"/>
    <col min="39" max="39" width="6.7109375" style="310" customWidth="1"/>
    <col min="40" max="40" width="8.7109375" style="310" customWidth="1"/>
    <col min="41" max="41" width="6.7109375" style="310" customWidth="1"/>
    <col min="42" max="42" width="8.7109375" style="310" customWidth="1"/>
    <col min="43" max="43" width="6.7109375" style="310" customWidth="1"/>
    <col min="44" max="44" width="8.7109375" style="310" customWidth="1"/>
    <col min="45" max="45" width="6.7109375" style="310" customWidth="1"/>
    <col min="46" max="46" width="8.7109375" style="310" customWidth="1"/>
    <col min="47" max="47" width="6.7109375" style="310" customWidth="1"/>
    <col min="48" max="48" width="8.7109375" style="310" customWidth="1"/>
    <col min="49" max="49" width="6.7109375" style="310" customWidth="1"/>
    <col min="50" max="50" width="8.7109375" style="310" customWidth="1"/>
    <col min="51" max="51" width="6.7109375" style="310" customWidth="1"/>
    <col min="52" max="52" width="8.7109375" style="310" customWidth="1"/>
    <col min="53" max="53" width="6.7109375" style="310" customWidth="1"/>
    <col min="54" max="54" width="8.7109375" style="310" customWidth="1"/>
    <col min="55" max="55" width="6.7109375" style="310" customWidth="1"/>
    <col min="56" max="56" width="8.7109375" style="310" customWidth="1"/>
    <col min="57" max="57" width="6.7109375" style="310" customWidth="1"/>
    <col min="58" max="58" width="8.7109375" style="310" customWidth="1"/>
    <col min="59" max="59" width="6.7109375" style="310" customWidth="1"/>
    <col min="60" max="60" width="8.7109375" style="310" customWidth="1"/>
    <col min="61" max="61" width="6.7109375" style="310" customWidth="1"/>
    <col min="62" max="62" width="8.7109375" style="310" customWidth="1"/>
    <col min="63" max="63" width="6.7109375" style="310" customWidth="1"/>
    <col min="64" max="64" width="8.7109375" style="310" customWidth="1"/>
    <col min="65" max="65" width="6.7109375" style="310" customWidth="1"/>
    <col min="66" max="66" width="8.7109375" style="310" customWidth="1"/>
    <col min="67" max="67" width="6.7109375" style="310" customWidth="1"/>
    <col min="68" max="68" width="8.7109375" style="310" customWidth="1"/>
    <col min="69" max="69" width="6.7109375" style="310" customWidth="1"/>
    <col min="70" max="70" width="8.7109375" style="310" customWidth="1"/>
    <col min="71" max="71" width="6.7109375" style="310" customWidth="1"/>
    <col min="72" max="72" width="8.7109375" style="310" customWidth="1"/>
    <col min="73" max="73" width="6.7109375" style="310" customWidth="1"/>
    <col min="74" max="74" width="8.7109375" style="308" customWidth="1"/>
    <col min="75" max="75" width="6.7109375" style="308" customWidth="1"/>
    <col min="76" max="76" width="8.7109375" style="308" customWidth="1"/>
    <col min="77" max="77" width="6.7109375" style="308" customWidth="1"/>
    <col min="78" max="78" width="8.7109375" style="308" customWidth="1"/>
    <col min="79" max="79" width="6.7109375" style="308" customWidth="1"/>
    <col min="80" max="80" width="8.7109375" style="308" customWidth="1"/>
    <col min="81" max="81" width="6.7109375" style="308" customWidth="1"/>
    <col min="82" max="82" width="8.7109375" style="308" customWidth="1"/>
    <col min="83" max="83" width="6.7109375" style="308" customWidth="1"/>
    <col min="84" max="84" width="8.7109375" style="308" customWidth="1"/>
    <col min="85" max="85" width="6.7109375" style="308" customWidth="1"/>
    <col min="86" max="86" width="8.7109375" style="308" customWidth="1"/>
    <col min="87" max="87" width="6.7109375" style="308" customWidth="1"/>
    <col min="88" max="88" width="8.7109375" style="308" customWidth="1"/>
    <col min="89" max="89" width="6.7109375" style="308" customWidth="1"/>
    <col min="90" max="16384" width="10.7109375" style="308"/>
  </cols>
  <sheetData>
    <row r="1" spans="1:118" s="82" customFormat="1" ht="15" customHeight="1" x14ac:dyDescent="0.2">
      <c r="A1" s="436"/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0"/>
      <c r="O1" s="80"/>
      <c r="P1" s="80"/>
      <c r="Q1" s="81"/>
      <c r="R1" s="81"/>
      <c r="S1" s="81"/>
      <c r="T1" s="81"/>
      <c r="U1" s="81"/>
      <c r="V1" s="81"/>
      <c r="W1" s="81"/>
      <c r="X1" s="81"/>
      <c r="Y1" s="81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  <c r="AK1" s="80"/>
      <c r="AL1" s="80"/>
      <c r="AM1" s="80"/>
      <c r="AN1" s="80"/>
      <c r="AO1" s="80"/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  <c r="BM1" s="80"/>
      <c r="BN1" s="80"/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  <c r="CA1" s="80"/>
      <c r="CB1" s="80"/>
      <c r="CC1" s="80"/>
      <c r="CD1" s="80"/>
      <c r="CE1" s="80"/>
      <c r="CF1" s="80"/>
      <c r="CG1" s="80"/>
      <c r="CH1" s="80"/>
      <c r="CI1" s="80"/>
      <c r="CJ1" s="80"/>
      <c r="CK1" s="80"/>
      <c r="CL1" s="80"/>
      <c r="CM1" s="80"/>
      <c r="CN1" s="80"/>
      <c r="CO1" s="80"/>
      <c r="CP1" s="80"/>
      <c r="CQ1" s="80"/>
      <c r="CR1" s="80"/>
      <c r="CS1" s="80"/>
      <c r="CT1" s="80"/>
      <c r="CU1" s="80"/>
      <c r="CV1" s="80"/>
      <c r="CW1" s="80"/>
      <c r="CX1" s="80"/>
      <c r="CY1" s="80"/>
      <c r="CZ1" s="80"/>
      <c r="DA1" s="80"/>
      <c r="DB1" s="80"/>
      <c r="DC1" s="80"/>
      <c r="DD1" s="80"/>
      <c r="DE1" s="80"/>
      <c r="DF1" s="80"/>
      <c r="DG1" s="80"/>
      <c r="DH1" s="80"/>
      <c r="DI1" s="80"/>
      <c r="DJ1" s="80"/>
      <c r="DK1" s="80"/>
    </row>
    <row r="2" spans="1:118" s="82" customFormat="1" ht="15" customHeight="1" x14ac:dyDescent="0.2">
      <c r="A2" s="449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3"/>
      <c r="AD2" s="81"/>
      <c r="AE2" s="81"/>
      <c r="AF2" s="83"/>
      <c r="AG2" s="81"/>
      <c r="AH2" s="81"/>
      <c r="AI2" s="81"/>
      <c r="AJ2" s="81"/>
      <c r="AK2" s="81"/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81"/>
      <c r="AY2" s="81"/>
      <c r="AZ2" s="81"/>
      <c r="BA2" s="81"/>
      <c r="BB2" s="81"/>
      <c r="BC2" s="81"/>
      <c r="BD2" s="81"/>
      <c r="BE2" s="81"/>
      <c r="BF2" s="81"/>
      <c r="BG2" s="81"/>
      <c r="BH2" s="81"/>
      <c r="BI2" s="81"/>
      <c r="BJ2" s="81"/>
      <c r="BK2" s="81"/>
      <c r="BL2" s="81"/>
      <c r="BM2" s="81"/>
      <c r="BN2" s="81"/>
      <c r="BO2" s="81"/>
      <c r="BP2" s="81"/>
      <c r="BQ2" s="81"/>
      <c r="BR2" s="81"/>
      <c r="BS2" s="81"/>
      <c r="BT2" s="81"/>
      <c r="BU2" s="81"/>
      <c r="BV2" s="81"/>
      <c r="BW2" s="81"/>
      <c r="BX2" s="81"/>
      <c r="BY2" s="81"/>
      <c r="BZ2" s="81"/>
      <c r="CA2" s="81"/>
      <c r="CB2" s="81"/>
      <c r="CC2" s="81"/>
      <c r="CD2" s="81"/>
      <c r="CE2" s="81"/>
      <c r="CF2" s="81"/>
      <c r="CG2" s="81"/>
      <c r="CH2" s="81"/>
      <c r="CI2" s="81"/>
      <c r="CJ2" s="81"/>
      <c r="CK2" s="81"/>
      <c r="CL2" s="81"/>
      <c r="CM2" s="81"/>
      <c r="CN2" s="81"/>
      <c r="CO2" s="81"/>
      <c r="CP2" s="81"/>
      <c r="CQ2" s="81"/>
      <c r="CR2" s="81"/>
      <c r="CS2" s="81"/>
      <c r="CT2" s="81"/>
      <c r="CU2" s="81"/>
      <c r="CV2" s="81"/>
      <c r="CW2" s="81"/>
      <c r="CX2" s="81"/>
      <c r="CY2" s="81"/>
      <c r="CZ2" s="81"/>
      <c r="DA2" s="81"/>
      <c r="DB2" s="81"/>
      <c r="DC2" s="81"/>
      <c r="DD2" s="81"/>
      <c r="DE2" s="81"/>
      <c r="DF2" s="81"/>
      <c r="DG2" s="81"/>
      <c r="DH2" s="81"/>
      <c r="DI2" s="81"/>
      <c r="DJ2" s="81"/>
      <c r="DK2" s="81"/>
    </row>
    <row r="3" spans="1:118" s="82" customFormat="1" ht="15" customHeight="1" x14ac:dyDescent="0.2">
      <c r="A3" s="450" t="s">
        <v>1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  <c r="AG3" s="84"/>
      <c r="AH3" s="84"/>
      <c r="AI3" s="84"/>
      <c r="AJ3" s="84"/>
      <c r="AK3" s="84"/>
      <c r="AL3" s="84"/>
      <c r="AM3" s="84"/>
      <c r="AN3" s="84"/>
      <c r="AO3" s="84"/>
      <c r="AP3" s="84"/>
      <c r="AQ3" s="84"/>
      <c r="AR3" s="84"/>
      <c r="AS3" s="84"/>
      <c r="AT3" s="84"/>
      <c r="AU3" s="84"/>
      <c r="AV3" s="84"/>
      <c r="AW3" s="84"/>
      <c r="AX3" s="84"/>
      <c r="AY3" s="84"/>
      <c r="AZ3" s="84"/>
      <c r="BA3" s="84"/>
      <c r="BB3" s="84"/>
      <c r="BC3" s="84"/>
      <c r="BD3" s="84"/>
      <c r="BE3" s="84"/>
      <c r="BF3" s="84"/>
      <c r="BG3" s="84"/>
      <c r="BH3" s="84"/>
      <c r="BI3" s="84"/>
      <c r="BJ3" s="84"/>
      <c r="BK3" s="84"/>
      <c r="BL3" s="84"/>
      <c r="BM3" s="84"/>
      <c r="BN3" s="84"/>
      <c r="BO3" s="84"/>
      <c r="BP3" s="84"/>
      <c r="BQ3" s="84"/>
      <c r="BR3" s="84"/>
      <c r="BS3" s="84"/>
      <c r="BT3" s="84"/>
      <c r="BU3" s="84"/>
      <c r="BV3" s="84"/>
      <c r="BW3" s="84"/>
      <c r="BX3" s="84"/>
      <c r="BY3" s="84"/>
      <c r="BZ3" s="84"/>
      <c r="CA3" s="84"/>
      <c r="CB3" s="84"/>
      <c r="CC3" s="84"/>
      <c r="CD3" s="84"/>
      <c r="CE3" s="84"/>
      <c r="CF3" s="84"/>
      <c r="CG3" s="84"/>
      <c r="CH3" s="84"/>
      <c r="CI3" s="84"/>
      <c r="CJ3" s="84"/>
      <c r="CK3" s="84"/>
      <c r="CL3" s="84"/>
      <c r="CM3" s="84"/>
      <c r="CN3" s="84"/>
      <c r="CO3" s="84"/>
      <c r="CP3" s="84"/>
      <c r="CQ3" s="84"/>
      <c r="CR3" s="84"/>
      <c r="CS3" s="84"/>
      <c r="CT3" s="84"/>
      <c r="CU3" s="84"/>
      <c r="CV3" s="84"/>
      <c r="CW3" s="84"/>
      <c r="CX3" s="84"/>
      <c r="CY3" s="84"/>
      <c r="CZ3" s="84"/>
      <c r="DA3" s="84"/>
      <c r="DB3" s="84"/>
      <c r="DC3" s="84"/>
      <c r="DD3" s="84"/>
      <c r="DE3" s="84"/>
      <c r="DF3" s="84"/>
      <c r="DG3" s="84"/>
      <c r="DH3" s="84"/>
      <c r="DI3" s="84"/>
      <c r="DJ3" s="84"/>
      <c r="DK3" s="84"/>
    </row>
    <row r="4" spans="1:118" s="82" customFormat="1" ht="15" customHeight="1" x14ac:dyDescent="0.25">
      <c r="A4" s="451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5"/>
      <c r="O4" s="85"/>
      <c r="P4" s="85"/>
      <c r="Q4" s="86"/>
      <c r="R4" s="86"/>
      <c r="S4" s="86"/>
      <c r="T4" s="86"/>
      <c r="U4" s="86"/>
      <c r="V4" s="86"/>
      <c r="W4" s="86"/>
      <c r="X4" s="86"/>
      <c r="Y4" s="86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  <c r="BM4" s="85"/>
      <c r="BN4" s="85"/>
      <c r="BO4" s="85"/>
      <c r="BP4" s="85"/>
      <c r="BQ4" s="85"/>
      <c r="BR4" s="85"/>
      <c r="BS4" s="85"/>
      <c r="BT4" s="85"/>
      <c r="BU4" s="85"/>
      <c r="BV4" s="85"/>
      <c r="BW4" s="85"/>
      <c r="BX4" s="85"/>
      <c r="BY4" s="85"/>
      <c r="BZ4" s="85"/>
      <c r="CA4" s="85"/>
      <c r="CB4" s="85"/>
      <c r="CC4" s="85"/>
      <c r="CD4" s="85"/>
      <c r="CE4" s="85"/>
      <c r="CF4" s="85"/>
      <c r="CG4" s="85"/>
      <c r="CH4" s="85"/>
      <c r="CI4" s="85"/>
      <c r="CJ4" s="85"/>
      <c r="CK4" s="85"/>
      <c r="CL4" s="85"/>
      <c r="CM4" s="85"/>
      <c r="CN4" s="85"/>
      <c r="CO4" s="85"/>
      <c r="CP4" s="85"/>
      <c r="CQ4" s="85"/>
      <c r="CR4" s="85"/>
      <c r="CS4" s="85"/>
      <c r="CU4" s="85"/>
      <c r="CV4" s="85"/>
      <c r="CW4" s="114"/>
      <c r="CX4" s="85"/>
      <c r="CY4" s="85"/>
      <c r="CZ4" s="114"/>
      <c r="DA4" s="85"/>
      <c r="DB4" s="85"/>
      <c r="DD4" s="85"/>
      <c r="DE4" s="85"/>
      <c r="DG4" s="85"/>
      <c r="DH4" s="130"/>
      <c r="DJ4" s="85"/>
      <c r="DN4" s="130"/>
    </row>
    <row r="5" spans="1:118" s="178" customFormat="1" ht="17.100000000000001" customHeight="1" thickBot="1" x14ac:dyDescent="0.25">
      <c r="A5" s="190" t="s">
        <v>458</v>
      </c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180"/>
      <c r="Q5" s="180"/>
      <c r="R5" s="180"/>
      <c r="S5" s="180"/>
      <c r="T5" s="180"/>
      <c r="U5" s="180"/>
      <c r="V5" s="180"/>
      <c r="W5" s="180"/>
      <c r="X5" s="180"/>
      <c r="Y5" s="180"/>
      <c r="Z5" s="180"/>
      <c r="AA5" s="180"/>
      <c r="AB5" s="180"/>
      <c r="AC5" s="180"/>
      <c r="AD5" s="180"/>
      <c r="AE5" s="180"/>
      <c r="AF5" s="180"/>
      <c r="AG5" s="180"/>
      <c r="AH5" s="180"/>
      <c r="AI5" s="180"/>
      <c r="AJ5" s="180"/>
      <c r="AK5" s="180"/>
      <c r="AL5" s="181"/>
      <c r="AM5" s="181"/>
      <c r="AN5" s="181"/>
      <c r="AO5" s="181"/>
      <c r="AP5" s="181"/>
      <c r="AQ5" s="181"/>
      <c r="AR5" s="181"/>
      <c r="AS5" s="181"/>
    </row>
    <row r="6" spans="1:118" ht="15" customHeight="1" thickTop="1" x14ac:dyDescent="0.25">
      <c r="D6" s="315"/>
      <c r="E6" s="315"/>
      <c r="F6" s="316"/>
      <c r="G6" s="315"/>
      <c r="H6" s="315"/>
      <c r="I6" s="315"/>
      <c r="J6" s="315"/>
      <c r="K6" s="315"/>
      <c r="L6" s="315"/>
      <c r="M6" s="315"/>
      <c r="N6" s="315"/>
      <c r="O6" s="315"/>
      <c r="P6" s="315"/>
      <c r="Q6" s="315"/>
      <c r="R6" s="315"/>
      <c r="S6" s="315"/>
      <c r="T6" s="315"/>
      <c r="U6" s="315"/>
      <c r="V6" s="315"/>
      <c r="W6" s="315"/>
      <c r="X6" s="315"/>
      <c r="Y6" s="315"/>
      <c r="Z6" s="315"/>
      <c r="AA6" s="315"/>
      <c r="AB6" s="315"/>
      <c r="AC6" s="315"/>
      <c r="AD6" s="315"/>
      <c r="AE6" s="315"/>
      <c r="AF6" s="315"/>
      <c r="AG6" s="315"/>
      <c r="AH6" s="315"/>
      <c r="AI6" s="315"/>
      <c r="AJ6" s="315"/>
      <c r="AK6" s="315"/>
      <c r="AL6" s="315"/>
      <c r="AM6" s="315"/>
      <c r="AN6" s="315"/>
      <c r="AO6" s="315"/>
      <c r="AP6" s="315"/>
      <c r="AQ6" s="315"/>
      <c r="AR6" s="315"/>
      <c r="AS6" s="315"/>
      <c r="AT6" s="315"/>
      <c r="AU6" s="315"/>
      <c r="AV6" s="315"/>
      <c r="AW6" s="315"/>
      <c r="AX6" s="317"/>
      <c r="AY6" s="317"/>
      <c r="AZ6" s="317"/>
      <c r="BA6" s="317"/>
      <c r="BB6" s="317"/>
      <c r="BC6" s="317"/>
      <c r="BD6" s="317"/>
      <c r="BE6" s="317"/>
      <c r="BF6" s="317"/>
      <c r="BG6" s="317"/>
      <c r="BH6" s="317"/>
      <c r="BI6" s="317"/>
      <c r="BJ6" s="317"/>
      <c r="BK6" s="317"/>
      <c r="BL6" s="317"/>
      <c r="BM6" s="317"/>
      <c r="BN6" s="317"/>
      <c r="BO6" s="317"/>
      <c r="BP6" s="317"/>
      <c r="BQ6" s="317"/>
      <c r="BR6" s="317"/>
      <c r="BS6" s="317"/>
      <c r="BT6" s="315"/>
      <c r="BW6" s="317"/>
      <c r="CA6" s="317"/>
      <c r="CC6" s="380"/>
      <c r="CE6" s="400"/>
      <c r="CG6" s="400"/>
      <c r="CI6" s="400"/>
      <c r="CK6" s="400" t="s">
        <v>662</v>
      </c>
      <c r="CN6" s="311"/>
      <c r="CO6" s="311"/>
      <c r="CP6" s="311"/>
      <c r="CQ6" s="311"/>
      <c r="CR6" s="311"/>
      <c r="CS6" s="311"/>
    </row>
    <row r="7" spans="1:118" s="319" customFormat="1" ht="15" customHeight="1" x14ac:dyDescent="0.2">
      <c r="A7" s="318"/>
      <c r="B7" s="728" t="s">
        <v>35</v>
      </c>
      <c r="C7" s="728"/>
      <c r="D7" s="728" t="s">
        <v>36</v>
      </c>
      <c r="E7" s="728"/>
      <c r="F7" s="728" t="s">
        <v>321</v>
      </c>
      <c r="G7" s="728"/>
      <c r="H7" s="728" t="s">
        <v>331</v>
      </c>
      <c r="I7" s="728"/>
      <c r="J7" s="728" t="s">
        <v>37</v>
      </c>
      <c r="K7" s="728"/>
      <c r="L7" s="728" t="s">
        <v>38</v>
      </c>
      <c r="M7" s="728"/>
      <c r="N7" s="728" t="s">
        <v>322</v>
      </c>
      <c r="O7" s="728"/>
      <c r="P7" s="728" t="s">
        <v>332</v>
      </c>
      <c r="Q7" s="728"/>
      <c r="R7" s="728" t="s">
        <v>39</v>
      </c>
      <c r="S7" s="728"/>
      <c r="T7" s="728" t="s">
        <v>40</v>
      </c>
      <c r="U7" s="728"/>
      <c r="V7" s="728" t="s">
        <v>323</v>
      </c>
      <c r="W7" s="728"/>
      <c r="X7" s="728" t="s">
        <v>333</v>
      </c>
      <c r="Y7" s="728"/>
      <c r="Z7" s="728" t="s">
        <v>41</v>
      </c>
      <c r="AA7" s="728"/>
      <c r="AB7" s="728" t="s">
        <v>42</v>
      </c>
      <c r="AC7" s="728"/>
      <c r="AD7" s="728" t="s">
        <v>324</v>
      </c>
      <c r="AE7" s="728"/>
      <c r="AF7" s="728" t="s">
        <v>334</v>
      </c>
      <c r="AG7" s="728"/>
      <c r="AH7" s="728" t="s">
        <v>43</v>
      </c>
      <c r="AI7" s="728"/>
      <c r="AJ7" s="728" t="s">
        <v>44</v>
      </c>
      <c r="AK7" s="728"/>
      <c r="AL7" s="728" t="s">
        <v>325</v>
      </c>
      <c r="AM7" s="728"/>
      <c r="AN7" s="728" t="s">
        <v>335</v>
      </c>
      <c r="AO7" s="728"/>
      <c r="AP7" s="728" t="s">
        <v>45</v>
      </c>
      <c r="AQ7" s="728"/>
      <c r="AR7" s="728" t="s">
        <v>46</v>
      </c>
      <c r="AS7" s="728"/>
      <c r="AT7" s="728" t="s">
        <v>326</v>
      </c>
      <c r="AU7" s="728"/>
      <c r="AV7" s="728" t="s">
        <v>336</v>
      </c>
      <c r="AW7" s="728"/>
      <c r="AX7" s="728" t="s">
        <v>47</v>
      </c>
      <c r="AY7" s="728"/>
      <c r="AZ7" s="728" t="s">
        <v>48</v>
      </c>
      <c r="BA7" s="728"/>
      <c r="BB7" s="728" t="s">
        <v>327</v>
      </c>
      <c r="BC7" s="728"/>
      <c r="BD7" s="728" t="s">
        <v>337</v>
      </c>
      <c r="BE7" s="728"/>
      <c r="BF7" s="728" t="s">
        <v>49</v>
      </c>
      <c r="BG7" s="728"/>
      <c r="BH7" s="728" t="s">
        <v>50</v>
      </c>
      <c r="BI7" s="728"/>
      <c r="BJ7" s="728" t="s">
        <v>328</v>
      </c>
      <c r="BK7" s="728"/>
      <c r="BL7" s="728" t="s">
        <v>338</v>
      </c>
      <c r="BM7" s="728"/>
      <c r="BN7" s="728" t="s">
        <v>51</v>
      </c>
      <c r="BO7" s="728"/>
      <c r="BP7" s="728" t="s">
        <v>52</v>
      </c>
      <c r="BQ7" s="728"/>
      <c r="BR7" s="728" t="s">
        <v>329</v>
      </c>
      <c r="BS7" s="728"/>
      <c r="BT7" s="728" t="s">
        <v>339</v>
      </c>
      <c r="BU7" s="728"/>
      <c r="BV7" s="728" t="s">
        <v>53</v>
      </c>
      <c r="BW7" s="728"/>
      <c r="BX7" s="728" t="s">
        <v>54</v>
      </c>
      <c r="BY7" s="728"/>
      <c r="BZ7" s="728" t="s">
        <v>330</v>
      </c>
      <c r="CA7" s="728"/>
      <c r="CB7" s="728" t="s">
        <v>340</v>
      </c>
      <c r="CC7" s="728"/>
      <c r="CD7" s="728" t="s">
        <v>71</v>
      </c>
      <c r="CE7" s="728"/>
      <c r="CF7" s="728" t="s">
        <v>374</v>
      </c>
      <c r="CG7" s="728"/>
      <c r="CH7" s="728" t="s">
        <v>376</v>
      </c>
      <c r="CI7" s="728"/>
      <c r="CJ7" s="728" t="s">
        <v>399</v>
      </c>
      <c r="CK7" s="728"/>
    </row>
    <row r="8" spans="1:118" s="322" customFormat="1" ht="9.9499999999999993" customHeight="1" x14ac:dyDescent="0.2">
      <c r="A8" s="320"/>
      <c r="B8" s="321"/>
      <c r="C8" s="321"/>
      <c r="D8" s="321"/>
      <c r="E8" s="321"/>
      <c r="F8" s="321"/>
      <c r="G8" s="321"/>
      <c r="H8" s="321"/>
      <c r="I8" s="321"/>
      <c r="J8" s="321"/>
      <c r="K8" s="321"/>
      <c r="L8" s="321"/>
      <c r="M8" s="321"/>
      <c r="N8" s="321"/>
      <c r="O8" s="321"/>
      <c r="P8" s="321"/>
      <c r="Q8" s="321"/>
      <c r="R8" s="321"/>
      <c r="S8" s="321"/>
      <c r="T8" s="321"/>
      <c r="U8" s="321"/>
      <c r="V8" s="321"/>
      <c r="W8" s="321"/>
      <c r="X8" s="321"/>
      <c r="Y8" s="321"/>
      <c r="Z8" s="321"/>
      <c r="AA8" s="321"/>
      <c r="AB8" s="321"/>
      <c r="AC8" s="321"/>
      <c r="AD8" s="321"/>
      <c r="AE8" s="321"/>
      <c r="AF8" s="321"/>
      <c r="AG8" s="321"/>
      <c r="AH8" s="321"/>
      <c r="AI8" s="321"/>
      <c r="AJ8" s="321"/>
      <c r="AK8" s="321"/>
      <c r="AL8" s="321"/>
      <c r="AM8" s="321"/>
      <c r="AN8" s="321"/>
      <c r="AO8" s="321"/>
      <c r="AP8" s="321"/>
      <c r="AQ8" s="321"/>
      <c r="AR8" s="321"/>
      <c r="AS8" s="321"/>
      <c r="AT8" s="321"/>
      <c r="AU8" s="321"/>
      <c r="AV8" s="321"/>
      <c r="AW8" s="321"/>
      <c r="AX8" s="321"/>
      <c r="AY8" s="321"/>
      <c r="AZ8" s="321"/>
      <c r="BA8" s="321"/>
      <c r="BB8" s="321"/>
      <c r="BC8" s="321"/>
      <c r="BD8" s="321"/>
      <c r="BE8" s="321"/>
      <c r="BF8" s="321"/>
      <c r="BG8" s="321"/>
      <c r="BH8" s="321"/>
      <c r="BI8" s="321"/>
      <c r="BJ8" s="321"/>
      <c r="BK8" s="321"/>
      <c r="BL8" s="321"/>
      <c r="BM8" s="321"/>
      <c r="BN8" s="321"/>
      <c r="BO8" s="321"/>
      <c r="BP8" s="321"/>
      <c r="BQ8" s="321"/>
      <c r="BR8" s="321"/>
      <c r="BS8" s="321"/>
      <c r="BT8" s="321"/>
      <c r="BU8" s="321"/>
      <c r="BV8" s="321"/>
      <c r="BW8" s="321"/>
      <c r="BX8" s="321"/>
      <c r="BY8" s="321"/>
      <c r="BZ8" s="321"/>
      <c r="CA8" s="321"/>
      <c r="CB8" s="321"/>
      <c r="CC8" s="321"/>
      <c r="CD8" s="321"/>
      <c r="CE8" s="321"/>
      <c r="CF8" s="321"/>
      <c r="CG8" s="321"/>
      <c r="CH8" s="321"/>
      <c r="CI8" s="321"/>
      <c r="CJ8" s="321"/>
      <c r="CK8" s="321"/>
    </row>
    <row r="9" spans="1:118" s="324" customFormat="1" ht="5.0999999999999996" customHeight="1" x14ac:dyDescent="0.2">
      <c r="A9" s="323"/>
      <c r="B9" s="323"/>
      <c r="C9" s="323"/>
      <c r="D9" s="323"/>
      <c r="E9" s="323"/>
      <c r="F9" s="323"/>
      <c r="G9" s="323"/>
      <c r="H9" s="323"/>
      <c r="I9" s="323"/>
      <c r="J9" s="323"/>
      <c r="K9" s="323"/>
      <c r="L9" s="323"/>
      <c r="M9" s="323"/>
      <c r="N9" s="323"/>
      <c r="O9" s="323"/>
      <c r="P9" s="323"/>
      <c r="Q9" s="323"/>
      <c r="R9" s="323"/>
      <c r="S9" s="323"/>
      <c r="T9" s="323"/>
      <c r="U9" s="323"/>
      <c r="V9" s="323"/>
      <c r="W9" s="323"/>
      <c r="X9" s="323"/>
      <c r="Y9" s="323"/>
      <c r="Z9" s="323"/>
      <c r="AA9" s="323"/>
      <c r="AB9" s="323"/>
      <c r="AC9" s="323"/>
      <c r="AD9" s="323"/>
      <c r="AE9" s="323"/>
      <c r="AF9" s="323"/>
      <c r="AG9" s="323"/>
      <c r="AH9" s="323"/>
      <c r="AI9" s="323"/>
      <c r="AJ9" s="323"/>
      <c r="AK9" s="323"/>
      <c r="AL9" s="323"/>
      <c r="AM9" s="323"/>
      <c r="AN9" s="323"/>
      <c r="AO9" s="323"/>
    </row>
    <row r="10" spans="1:118" s="324" customFormat="1" ht="15" customHeight="1" x14ac:dyDescent="0.2">
      <c r="A10" s="684" t="s">
        <v>633</v>
      </c>
      <c r="B10" s="419" t="s">
        <v>2</v>
      </c>
      <c r="C10" s="419" t="s">
        <v>12</v>
      </c>
      <c r="D10" s="419" t="s">
        <v>2</v>
      </c>
      <c r="E10" s="419" t="s">
        <v>12</v>
      </c>
      <c r="F10" s="419" t="s">
        <v>2</v>
      </c>
      <c r="G10" s="419" t="s">
        <v>12</v>
      </c>
      <c r="H10" s="419" t="s">
        <v>2</v>
      </c>
      <c r="I10" s="419" t="s">
        <v>12</v>
      </c>
      <c r="J10" s="419" t="s">
        <v>2</v>
      </c>
      <c r="K10" s="419" t="s">
        <v>12</v>
      </c>
      <c r="L10" s="419" t="s">
        <v>2</v>
      </c>
      <c r="M10" s="419" t="s">
        <v>12</v>
      </c>
      <c r="N10" s="419" t="s">
        <v>2</v>
      </c>
      <c r="O10" s="419" t="s">
        <v>12</v>
      </c>
      <c r="P10" s="419" t="s">
        <v>2</v>
      </c>
      <c r="Q10" s="419" t="s">
        <v>12</v>
      </c>
      <c r="R10" s="419" t="s">
        <v>2</v>
      </c>
      <c r="S10" s="419" t="s">
        <v>12</v>
      </c>
      <c r="T10" s="419" t="s">
        <v>2</v>
      </c>
      <c r="U10" s="419" t="s">
        <v>12</v>
      </c>
      <c r="V10" s="419" t="s">
        <v>2</v>
      </c>
      <c r="W10" s="419" t="s">
        <v>12</v>
      </c>
      <c r="X10" s="419" t="s">
        <v>2</v>
      </c>
      <c r="Y10" s="419" t="s">
        <v>12</v>
      </c>
      <c r="Z10" s="419" t="s">
        <v>2</v>
      </c>
      <c r="AA10" s="419" t="s">
        <v>12</v>
      </c>
      <c r="AB10" s="419" t="s">
        <v>2</v>
      </c>
      <c r="AC10" s="419" t="s">
        <v>12</v>
      </c>
      <c r="AD10" s="419" t="s">
        <v>2</v>
      </c>
      <c r="AE10" s="419" t="s">
        <v>12</v>
      </c>
      <c r="AF10" s="419" t="s">
        <v>2</v>
      </c>
      <c r="AG10" s="419" t="s">
        <v>12</v>
      </c>
      <c r="AH10" s="419" t="s">
        <v>2</v>
      </c>
      <c r="AI10" s="419" t="s">
        <v>12</v>
      </c>
      <c r="AJ10" s="419" t="s">
        <v>2</v>
      </c>
      <c r="AK10" s="419" t="s">
        <v>12</v>
      </c>
      <c r="AL10" s="419" t="s">
        <v>2</v>
      </c>
      <c r="AM10" s="419" t="s">
        <v>12</v>
      </c>
      <c r="AN10" s="419" t="s">
        <v>2</v>
      </c>
      <c r="AO10" s="419" t="s">
        <v>12</v>
      </c>
      <c r="AP10" s="419" t="s">
        <v>2</v>
      </c>
      <c r="AQ10" s="419" t="s">
        <v>12</v>
      </c>
      <c r="AR10" s="419" t="s">
        <v>2</v>
      </c>
      <c r="AS10" s="419" t="s">
        <v>12</v>
      </c>
      <c r="AT10" s="419" t="s">
        <v>2</v>
      </c>
      <c r="AU10" s="419" t="s">
        <v>12</v>
      </c>
      <c r="AV10" s="419" t="s">
        <v>2</v>
      </c>
      <c r="AW10" s="419" t="s">
        <v>12</v>
      </c>
      <c r="AX10" s="419" t="s">
        <v>2</v>
      </c>
      <c r="AY10" s="419" t="s">
        <v>12</v>
      </c>
      <c r="AZ10" s="419" t="s">
        <v>2</v>
      </c>
      <c r="BA10" s="419" t="s">
        <v>12</v>
      </c>
      <c r="BB10" s="419" t="s">
        <v>2</v>
      </c>
      <c r="BC10" s="419" t="s">
        <v>12</v>
      </c>
      <c r="BD10" s="419" t="s">
        <v>2</v>
      </c>
      <c r="BE10" s="419" t="s">
        <v>12</v>
      </c>
      <c r="BF10" s="419" t="s">
        <v>2</v>
      </c>
      <c r="BG10" s="419" t="s">
        <v>12</v>
      </c>
      <c r="BH10" s="419" t="s">
        <v>2</v>
      </c>
      <c r="BI10" s="419" t="s">
        <v>12</v>
      </c>
      <c r="BJ10" s="419" t="s">
        <v>2</v>
      </c>
      <c r="BK10" s="419" t="s">
        <v>12</v>
      </c>
      <c r="BL10" s="419" t="s">
        <v>2</v>
      </c>
      <c r="BM10" s="419" t="s">
        <v>12</v>
      </c>
      <c r="BN10" s="419" t="s">
        <v>2</v>
      </c>
      <c r="BO10" s="419" t="s">
        <v>12</v>
      </c>
      <c r="BP10" s="419" t="s">
        <v>2</v>
      </c>
      <c r="BQ10" s="419" t="s">
        <v>12</v>
      </c>
      <c r="BR10" s="419" t="s">
        <v>2</v>
      </c>
      <c r="BS10" s="419" t="s">
        <v>12</v>
      </c>
      <c r="BT10" s="419" t="s">
        <v>2</v>
      </c>
      <c r="BU10" s="419" t="s">
        <v>12</v>
      </c>
      <c r="BV10" s="419" t="s">
        <v>2</v>
      </c>
      <c r="BW10" s="419" t="s">
        <v>12</v>
      </c>
      <c r="BX10" s="419" t="s">
        <v>2</v>
      </c>
      <c r="BY10" s="419" t="s">
        <v>12</v>
      </c>
      <c r="BZ10" s="419" t="s">
        <v>2</v>
      </c>
      <c r="CA10" s="419" t="s">
        <v>12</v>
      </c>
      <c r="CB10" s="419" t="s">
        <v>2</v>
      </c>
      <c r="CC10" s="419" t="s">
        <v>12</v>
      </c>
      <c r="CD10" s="419" t="s">
        <v>2</v>
      </c>
      <c r="CE10" s="419" t="s">
        <v>12</v>
      </c>
      <c r="CF10" s="419" t="s">
        <v>2</v>
      </c>
      <c r="CG10" s="419" t="s">
        <v>12</v>
      </c>
      <c r="CH10" s="419" t="s">
        <v>2</v>
      </c>
      <c r="CI10" s="419" t="s">
        <v>12</v>
      </c>
      <c r="CJ10" s="574" t="s">
        <v>2</v>
      </c>
      <c r="CK10" s="574" t="s">
        <v>12</v>
      </c>
    </row>
    <row r="11" spans="1:118" ht="5.0999999999999996" customHeight="1" x14ac:dyDescent="0.2">
      <c r="A11" s="326"/>
      <c r="B11" s="327"/>
      <c r="C11" s="327"/>
      <c r="D11" s="327"/>
      <c r="E11" s="327"/>
      <c r="F11" s="327"/>
      <c r="G11" s="327"/>
      <c r="H11" s="327"/>
      <c r="I11" s="327"/>
      <c r="J11" s="326"/>
      <c r="K11" s="326"/>
      <c r="L11" s="326"/>
      <c r="M11" s="326"/>
      <c r="N11" s="326"/>
      <c r="O11" s="326"/>
      <c r="P11" s="326"/>
      <c r="Q11" s="326"/>
      <c r="R11" s="326"/>
      <c r="S11" s="326"/>
      <c r="T11" s="326"/>
      <c r="U11" s="326"/>
      <c r="V11" s="326"/>
      <c r="W11" s="326"/>
      <c r="X11" s="326"/>
      <c r="Y11" s="326"/>
      <c r="Z11" s="326"/>
      <c r="AA11" s="326"/>
      <c r="AB11" s="326"/>
      <c r="AC11" s="326"/>
      <c r="AD11" s="326"/>
      <c r="AE11" s="326"/>
      <c r="AF11" s="326"/>
      <c r="AG11" s="326"/>
      <c r="AH11" s="326"/>
      <c r="AI11" s="326"/>
      <c r="AJ11" s="326"/>
      <c r="AK11" s="326"/>
      <c r="AL11" s="326"/>
      <c r="AM11" s="326"/>
      <c r="AN11" s="326"/>
      <c r="AO11" s="326"/>
      <c r="AP11" s="326"/>
      <c r="AQ11" s="326"/>
      <c r="AR11" s="326"/>
      <c r="AS11" s="326"/>
      <c r="AT11" s="326"/>
      <c r="AU11" s="326"/>
      <c r="AV11" s="326"/>
      <c r="AW11" s="326"/>
      <c r="AX11" s="326"/>
      <c r="AY11" s="326"/>
      <c r="AZ11" s="326"/>
      <c r="BA11" s="326"/>
      <c r="BB11" s="326"/>
      <c r="BC11" s="326"/>
      <c r="BD11" s="326"/>
      <c r="BE11" s="326"/>
      <c r="BF11" s="326"/>
      <c r="BG11" s="326"/>
      <c r="BH11" s="326"/>
      <c r="BI11" s="326"/>
      <c r="BJ11" s="326"/>
      <c r="BK11" s="326"/>
      <c r="BL11" s="326"/>
      <c r="BM11" s="326"/>
      <c r="BN11" s="326"/>
      <c r="BO11" s="326"/>
      <c r="BP11" s="326"/>
      <c r="BQ11" s="326"/>
      <c r="BR11" s="326"/>
      <c r="BS11" s="326"/>
      <c r="BT11" s="326"/>
      <c r="BU11" s="326"/>
      <c r="BV11" s="326"/>
      <c r="BW11" s="326"/>
      <c r="BX11" s="326"/>
      <c r="BY11" s="326"/>
      <c r="BZ11" s="326"/>
      <c r="CA11" s="326"/>
      <c r="CB11" s="326"/>
      <c r="CC11" s="326"/>
      <c r="CD11" s="326"/>
      <c r="CE11" s="326"/>
      <c r="CF11" s="326"/>
      <c r="CG11" s="326"/>
      <c r="CH11" s="326"/>
      <c r="CI11" s="326"/>
      <c r="CJ11" s="326"/>
      <c r="CK11" s="326"/>
    </row>
    <row r="12" spans="1:118" s="325" customFormat="1" ht="15" customHeight="1" x14ac:dyDescent="0.2">
      <c r="A12" s="328" t="s">
        <v>15</v>
      </c>
      <c r="B12" s="329">
        <f>19883+57</f>
        <v>19940</v>
      </c>
      <c r="C12" s="392">
        <f t="shared" ref="C12:C20" si="0">B12/$B$22*100</f>
        <v>18.769531985391016</v>
      </c>
      <c r="D12" s="329">
        <v>19976</v>
      </c>
      <c r="E12" s="392">
        <f t="shared" ref="E12:E20" si="1">D12/$D$22*100</f>
        <v>17.611792918606291</v>
      </c>
      <c r="F12" s="329">
        <v>19655</v>
      </c>
      <c r="G12" s="392">
        <f>F12/$F$22*100+0.1</f>
        <v>16.264448903728805</v>
      </c>
      <c r="H12" s="329">
        <v>23001</v>
      </c>
      <c r="I12" s="392">
        <f>H12/$H$22*100-0.1</f>
        <v>16.675336950813932</v>
      </c>
      <c r="J12" s="330">
        <v>24119</v>
      </c>
      <c r="K12" s="394">
        <f>J12/$J$22*100</f>
        <v>16.711125276278501</v>
      </c>
      <c r="L12" s="330">
        <v>26864</v>
      </c>
      <c r="M12" s="394">
        <f>L12/$L$22*100-0.01</f>
        <v>17.432117155137711</v>
      </c>
      <c r="N12" s="330">
        <v>28562</v>
      </c>
      <c r="O12" s="394">
        <f t="shared" ref="O12:O20" si="2">N12/$N$22*100</f>
        <v>17.164044565700756</v>
      </c>
      <c r="P12" s="330">
        <v>33503</v>
      </c>
      <c r="Q12" s="394">
        <f>P12/$P$22*100</f>
        <v>18.617432135811733</v>
      </c>
      <c r="R12" s="170">
        <v>33431</v>
      </c>
      <c r="S12" s="394">
        <f t="shared" ref="S12:S20" si="3">ROUND((R12/$R$22*100),1)</f>
        <v>18.600000000000001</v>
      </c>
      <c r="T12" s="170">
        <v>32223</v>
      </c>
      <c r="U12" s="394">
        <f t="shared" ref="U12:U18" si="4">ROUND((T12/$T$22*100),1)</f>
        <v>18</v>
      </c>
      <c r="V12" s="331">
        <v>31675</v>
      </c>
      <c r="W12" s="394">
        <f t="shared" ref="W12:W20" si="5">ROUND((V12/$V$22*100),1)</f>
        <v>17.5</v>
      </c>
      <c r="X12" s="331">
        <v>30669</v>
      </c>
      <c r="Y12" s="394">
        <f t="shared" ref="Y12:Y20" si="6">ROUND((X12/$X$22*100),1)</f>
        <v>16.100000000000001</v>
      </c>
      <c r="Z12" s="331">
        <v>31457</v>
      </c>
      <c r="AA12" s="394">
        <f>ROUND((Z12/$Z$22*100),1)</f>
        <v>15.9</v>
      </c>
      <c r="AB12" s="331">
        <v>34206</v>
      </c>
      <c r="AC12" s="394">
        <f t="shared" ref="AC12:AC20" si="7">ROUND((AB12/$AB$22*100),1)</f>
        <v>16.399999999999999</v>
      </c>
      <c r="AD12" s="331">
        <v>36015</v>
      </c>
      <c r="AE12" s="394">
        <f t="shared" ref="AE12:AE17" si="8">ROUND((AD12/$AD$22*100),1)</f>
        <v>16.600000000000001</v>
      </c>
      <c r="AF12" s="331">
        <v>39935</v>
      </c>
      <c r="AG12" s="394">
        <f t="shared" ref="AG12:AG17" si="9">ROUND((AF12/$AF$22*100),1)</f>
        <v>17.3</v>
      </c>
      <c r="AH12" s="331">
        <v>41148</v>
      </c>
      <c r="AI12" s="394">
        <f t="shared" ref="AI12:AI17" si="10">ROUND((AH12/$AH$22*100),1)</f>
        <v>17.2</v>
      </c>
      <c r="AJ12" s="331">
        <v>45497</v>
      </c>
      <c r="AK12" s="394">
        <f t="shared" ref="AK12:AK20" si="11">ROUND((AJ12/$AJ$22*100),1)</f>
        <v>18.100000000000001</v>
      </c>
      <c r="AL12" s="331">
        <v>48137</v>
      </c>
      <c r="AM12" s="394">
        <f t="shared" ref="AM12:AM19" si="12">ROUND((AL12/$AL$22*100),1)</f>
        <v>18.5</v>
      </c>
      <c r="AN12" s="331">
        <v>51050</v>
      </c>
      <c r="AO12" s="394">
        <f t="shared" ref="AO12:AO20" si="13">ROUND((AN12/$AN$22*100),1)</f>
        <v>19</v>
      </c>
      <c r="AP12" s="331">
        <v>49782</v>
      </c>
      <c r="AQ12" s="394">
        <f t="shared" ref="AQ12:AQ19" si="14">ROUND((AP12/$AP$22*100),1)</f>
        <v>18.5</v>
      </c>
      <c r="AR12" s="331">
        <v>53112</v>
      </c>
      <c r="AS12" s="394">
        <f>ROUND((AR12/$AR$22*100),1)+0.1</f>
        <v>19.100000000000001</v>
      </c>
      <c r="AT12" s="331">
        <v>51487</v>
      </c>
      <c r="AU12" s="394">
        <f>ROUND((AT12/$AT$22*100),1)</f>
        <v>18.100000000000001</v>
      </c>
      <c r="AV12" s="331">
        <v>51692</v>
      </c>
      <c r="AW12" s="394">
        <f>ROUND((AV12/$AV$22*100),1)</f>
        <v>17.8</v>
      </c>
      <c r="AX12" s="331">
        <v>54285</v>
      </c>
      <c r="AY12" s="394">
        <f>ROUND((AX12/$AX$22*100),1)</f>
        <v>18.2</v>
      </c>
      <c r="AZ12" s="331">
        <v>50063</v>
      </c>
      <c r="BA12" s="394">
        <f t="shared" ref="BA12:BA19" si="15">ROUND((AZ12/$AZ$22*100),1)</f>
        <v>16.399999999999999</v>
      </c>
      <c r="BB12" s="331">
        <v>50612</v>
      </c>
      <c r="BC12" s="394">
        <f t="shared" ref="BC12:BC20" si="16">ROUND((BB12/$BB$22*100),1)</f>
        <v>16.2</v>
      </c>
      <c r="BD12" s="331">
        <v>58673</v>
      </c>
      <c r="BE12" s="394">
        <v>18.2</v>
      </c>
      <c r="BF12" s="331">
        <v>59809</v>
      </c>
      <c r="BG12" s="394">
        <v>18.2</v>
      </c>
      <c r="BH12" s="331">
        <v>59182</v>
      </c>
      <c r="BI12" s="394">
        <f t="shared" ref="BI12:BI20" si="17">(BH12/$BH$22)*100</f>
        <v>18.0066206627965</v>
      </c>
      <c r="BJ12" s="331">
        <v>61922</v>
      </c>
      <c r="BK12" s="394">
        <f t="shared" ref="BK12:BK20" si="18">(BJ12/$BJ$22)*100</f>
        <v>18.434433647708872</v>
      </c>
      <c r="BL12" s="331">
        <v>67545</v>
      </c>
      <c r="BM12" s="394">
        <v>19.5</v>
      </c>
      <c r="BN12" s="331">
        <v>73118</v>
      </c>
      <c r="BO12" s="394">
        <v>20.8</v>
      </c>
      <c r="BP12" s="331">
        <v>77584</v>
      </c>
      <c r="BQ12" s="394">
        <v>21.8</v>
      </c>
      <c r="BR12" s="331">
        <v>82719</v>
      </c>
      <c r="BS12" s="394">
        <v>22.6</v>
      </c>
      <c r="BT12" s="331">
        <v>75719</v>
      </c>
      <c r="BU12" s="394">
        <v>20.6</v>
      </c>
      <c r="BV12" s="331">
        <v>96707</v>
      </c>
      <c r="BW12" s="394">
        <v>27.4</v>
      </c>
      <c r="BX12" s="331">
        <v>81449</v>
      </c>
      <c r="BY12" s="394">
        <v>23.8</v>
      </c>
      <c r="BZ12" s="331">
        <v>121866</v>
      </c>
      <c r="CA12" s="394">
        <v>30.5</v>
      </c>
      <c r="CB12" s="331">
        <v>129070</v>
      </c>
      <c r="CC12" s="394">
        <v>32.9</v>
      </c>
      <c r="CD12" s="170">
        <v>112910</v>
      </c>
      <c r="CE12" s="394">
        <v>29.5</v>
      </c>
      <c r="CF12" s="547">
        <v>115148</v>
      </c>
      <c r="CG12" s="394">
        <v>30.6</v>
      </c>
      <c r="CH12" s="547">
        <v>115573</v>
      </c>
      <c r="CI12" s="394">
        <v>31.3</v>
      </c>
      <c r="CJ12" s="464">
        <f>114222540/1000</f>
        <v>114222.54</v>
      </c>
      <c r="CK12" s="700">
        <v>0.308</v>
      </c>
    </row>
    <row r="13" spans="1:118" s="325" customFormat="1" ht="15" customHeight="1" x14ac:dyDescent="0.2">
      <c r="A13" s="328" t="s">
        <v>16</v>
      </c>
      <c r="B13" s="329">
        <f>46073+3647</f>
        <v>49720</v>
      </c>
      <c r="C13" s="392">
        <f t="shared" si="0"/>
        <v>46.801460898377201</v>
      </c>
      <c r="D13" s="329">
        <v>53934</v>
      </c>
      <c r="E13" s="392">
        <f t="shared" si="1"/>
        <v>47.550782903089292</v>
      </c>
      <c r="F13" s="329">
        <v>58865</v>
      </c>
      <c r="G13" s="392">
        <f t="shared" ref="G13:G20" si="19">F13/$F$22*100</f>
        <v>48.411105811141994</v>
      </c>
      <c r="H13" s="329">
        <v>65428</v>
      </c>
      <c r="I13" s="392">
        <f t="shared" ref="I13:I20" si="20">H13/$H$22*100</f>
        <v>47.718653363673489</v>
      </c>
      <c r="J13" s="330">
        <v>67314</v>
      </c>
      <c r="K13" s="394">
        <f>J13/$J$22*100</f>
        <v>46.639275544069456</v>
      </c>
      <c r="L13" s="330">
        <v>69422</v>
      </c>
      <c r="M13" s="394">
        <f t="shared" ref="M13:M20" si="21">L13/$L$22*100</f>
        <v>45.073952395174587</v>
      </c>
      <c r="N13" s="330">
        <v>78433</v>
      </c>
      <c r="O13" s="394">
        <f t="shared" si="2"/>
        <v>47.133516820306959</v>
      </c>
      <c r="P13" s="330">
        <v>81079</v>
      </c>
      <c r="Q13" s="394">
        <f>P13/$P$22*100-0.1</f>
        <v>44.955152677058152</v>
      </c>
      <c r="R13" s="170">
        <v>78869</v>
      </c>
      <c r="S13" s="394">
        <f t="shared" si="3"/>
        <v>43.8</v>
      </c>
      <c r="T13" s="170">
        <v>76945</v>
      </c>
      <c r="U13" s="394">
        <f t="shared" si="4"/>
        <v>42.9</v>
      </c>
      <c r="V13" s="331">
        <v>78392</v>
      </c>
      <c r="W13" s="394">
        <f t="shared" si="5"/>
        <v>43.3</v>
      </c>
      <c r="X13" s="331">
        <v>86155</v>
      </c>
      <c r="Y13" s="394">
        <f t="shared" si="6"/>
        <v>45.1</v>
      </c>
      <c r="Z13" s="331">
        <v>89384</v>
      </c>
      <c r="AA13" s="394">
        <f>ROUND((Z13/$Z$22*100),1)</f>
        <v>45.1</v>
      </c>
      <c r="AB13" s="331">
        <v>93192</v>
      </c>
      <c r="AC13" s="394">
        <f t="shared" si="7"/>
        <v>44.7</v>
      </c>
      <c r="AD13" s="331">
        <v>96105</v>
      </c>
      <c r="AE13" s="394">
        <f t="shared" si="8"/>
        <v>44.2</v>
      </c>
      <c r="AF13" s="331">
        <v>99774</v>
      </c>
      <c r="AG13" s="394">
        <f t="shared" si="9"/>
        <v>43.3</v>
      </c>
      <c r="AH13" s="331">
        <v>102111</v>
      </c>
      <c r="AI13" s="394">
        <f t="shared" si="10"/>
        <v>42.6</v>
      </c>
      <c r="AJ13" s="331">
        <v>104801</v>
      </c>
      <c r="AK13" s="394">
        <f t="shared" si="11"/>
        <v>41.8</v>
      </c>
      <c r="AL13" s="331">
        <v>108058</v>
      </c>
      <c r="AM13" s="394">
        <f t="shared" si="12"/>
        <v>41.5</v>
      </c>
      <c r="AN13" s="331">
        <v>108360</v>
      </c>
      <c r="AO13" s="394">
        <f t="shared" si="13"/>
        <v>40.299999999999997</v>
      </c>
      <c r="AP13" s="331">
        <v>109390</v>
      </c>
      <c r="AQ13" s="394">
        <f t="shared" si="14"/>
        <v>40.6</v>
      </c>
      <c r="AR13" s="331">
        <v>112242</v>
      </c>
      <c r="AS13" s="394">
        <f t="shared" ref="AS13:AS19" si="22">ROUND((AR13/$AR$22*100),1)</f>
        <v>40.200000000000003</v>
      </c>
      <c r="AT13" s="331">
        <v>116584</v>
      </c>
      <c r="AU13" s="394">
        <f>ROUND((AT13/$AT$22*100),1)</f>
        <v>41</v>
      </c>
      <c r="AV13" s="331">
        <v>119206</v>
      </c>
      <c r="AW13" s="394">
        <f>ROUND((AV13/$AV$22*100),1)</f>
        <v>41</v>
      </c>
      <c r="AX13" s="331">
        <v>120630</v>
      </c>
      <c r="AY13" s="394">
        <f>ROUND((AX13/$AX$22*100),1)</f>
        <v>40.5</v>
      </c>
      <c r="AZ13" s="331">
        <v>128692</v>
      </c>
      <c r="BA13" s="394">
        <f t="shared" si="15"/>
        <v>42.1</v>
      </c>
      <c r="BB13" s="331">
        <v>132728</v>
      </c>
      <c r="BC13" s="394">
        <f t="shared" si="16"/>
        <v>42.6</v>
      </c>
      <c r="BD13" s="331">
        <v>134689</v>
      </c>
      <c r="BE13" s="394">
        <v>41.7</v>
      </c>
      <c r="BF13" s="331">
        <v>135682</v>
      </c>
      <c r="BG13" s="394">
        <v>41.3</v>
      </c>
      <c r="BH13" s="331">
        <v>138227</v>
      </c>
      <c r="BI13" s="394">
        <f t="shared" si="17"/>
        <v>42.056725936203101</v>
      </c>
      <c r="BJ13" s="331">
        <v>141003</v>
      </c>
      <c r="BK13" s="394">
        <f t="shared" si="18"/>
        <v>41.977172049156906</v>
      </c>
      <c r="BL13" s="331">
        <v>143450</v>
      </c>
      <c r="BM13" s="394">
        <v>41.4</v>
      </c>
      <c r="BN13" s="331">
        <v>139871</v>
      </c>
      <c r="BO13" s="394">
        <v>39.700000000000003</v>
      </c>
      <c r="BP13" s="331">
        <v>139849</v>
      </c>
      <c r="BQ13" s="394">
        <v>39.4</v>
      </c>
      <c r="BR13" s="331">
        <v>142322</v>
      </c>
      <c r="BS13" s="394">
        <v>38.9</v>
      </c>
      <c r="BT13" s="331">
        <v>147689</v>
      </c>
      <c r="BU13" s="394">
        <v>40.299999999999997</v>
      </c>
      <c r="BV13" s="331">
        <v>120068</v>
      </c>
      <c r="BW13" s="394">
        <v>33.9</v>
      </c>
      <c r="BX13" s="331">
        <v>120171</v>
      </c>
      <c r="BY13" s="394">
        <v>35.200000000000003</v>
      </c>
      <c r="BZ13" s="331">
        <v>138246</v>
      </c>
      <c r="CA13" s="394">
        <v>34.6</v>
      </c>
      <c r="CB13" s="331">
        <v>128713</v>
      </c>
      <c r="CC13" s="394">
        <v>32.799999999999997</v>
      </c>
      <c r="CD13" s="170">
        <v>131675</v>
      </c>
      <c r="CE13" s="394">
        <v>34.5</v>
      </c>
      <c r="CF13" s="547">
        <v>123721</v>
      </c>
      <c r="CG13" s="394">
        <v>32.9</v>
      </c>
      <c r="CH13" s="547">
        <v>122594</v>
      </c>
      <c r="CI13" s="394">
        <v>33.200000000000003</v>
      </c>
      <c r="CJ13" s="464">
        <f>126744332/1000</f>
        <v>126744.33199999999</v>
      </c>
      <c r="CK13" s="700">
        <v>0.34200000000000003</v>
      </c>
    </row>
    <row r="14" spans="1:118" s="325" customFormat="1" ht="15" customHeight="1" x14ac:dyDescent="0.2">
      <c r="A14" s="328" t="s">
        <v>17</v>
      </c>
      <c r="B14" s="329">
        <f>10500+149</f>
        <v>10649</v>
      </c>
      <c r="C14" s="392">
        <f t="shared" si="0"/>
        <v>10.023909032719605</v>
      </c>
      <c r="D14" s="329">
        <v>11940</v>
      </c>
      <c r="E14" s="392">
        <f t="shared" si="1"/>
        <v>10.526872619551417</v>
      </c>
      <c r="F14" s="329">
        <v>13400</v>
      </c>
      <c r="G14" s="392">
        <f t="shared" si="19"/>
        <v>11.020280605950951</v>
      </c>
      <c r="H14" s="329">
        <v>15374</v>
      </c>
      <c r="I14" s="392">
        <f t="shared" si="20"/>
        <v>11.21273119785285</v>
      </c>
      <c r="J14" s="330">
        <v>17483</v>
      </c>
      <c r="K14" s="394">
        <f>J14/$J$22*100-0.1</f>
        <v>12.01329670405809</v>
      </c>
      <c r="L14" s="330">
        <v>18916</v>
      </c>
      <c r="M14" s="394">
        <f t="shared" si="21"/>
        <v>12.281681361918736</v>
      </c>
      <c r="N14" s="330">
        <v>19628</v>
      </c>
      <c r="O14" s="394">
        <f t="shared" si="2"/>
        <v>11.795247767508384</v>
      </c>
      <c r="P14" s="330">
        <v>22667</v>
      </c>
      <c r="Q14" s="394">
        <f t="shared" ref="Q14:Q20" si="23">P14/$P$22*100</f>
        <v>12.595926759467647</v>
      </c>
      <c r="R14" s="170">
        <v>22063</v>
      </c>
      <c r="S14" s="394">
        <f t="shared" si="3"/>
        <v>12.3</v>
      </c>
      <c r="T14" s="170">
        <v>21178</v>
      </c>
      <c r="U14" s="394">
        <f t="shared" si="4"/>
        <v>11.8</v>
      </c>
      <c r="V14" s="331">
        <v>20236</v>
      </c>
      <c r="W14" s="394">
        <f t="shared" si="5"/>
        <v>11.2</v>
      </c>
      <c r="X14" s="331">
        <v>20019</v>
      </c>
      <c r="Y14" s="394">
        <f t="shared" si="6"/>
        <v>10.5</v>
      </c>
      <c r="Z14" s="331">
        <v>21248</v>
      </c>
      <c r="AA14" s="394">
        <f>ROUND((Z14/$Z$22*100),1)</f>
        <v>10.7</v>
      </c>
      <c r="AB14" s="331">
        <v>21181</v>
      </c>
      <c r="AC14" s="394">
        <f t="shared" si="7"/>
        <v>10.199999999999999</v>
      </c>
      <c r="AD14" s="331">
        <v>22136</v>
      </c>
      <c r="AE14" s="394">
        <f t="shared" si="8"/>
        <v>10.199999999999999</v>
      </c>
      <c r="AF14" s="331">
        <v>22110</v>
      </c>
      <c r="AG14" s="394">
        <f t="shared" si="9"/>
        <v>9.6</v>
      </c>
      <c r="AH14" s="331">
        <v>23544</v>
      </c>
      <c r="AI14" s="394">
        <f t="shared" si="10"/>
        <v>9.8000000000000007</v>
      </c>
      <c r="AJ14" s="331">
        <v>23871</v>
      </c>
      <c r="AK14" s="394">
        <f t="shared" si="11"/>
        <v>9.5</v>
      </c>
      <c r="AL14" s="331">
        <v>23434</v>
      </c>
      <c r="AM14" s="394">
        <f t="shared" si="12"/>
        <v>9</v>
      </c>
      <c r="AN14" s="331">
        <v>39709</v>
      </c>
      <c r="AO14" s="394">
        <f t="shared" si="13"/>
        <v>14.8</v>
      </c>
      <c r="AP14" s="331">
        <v>39099</v>
      </c>
      <c r="AQ14" s="394">
        <f t="shared" si="14"/>
        <v>14.5</v>
      </c>
      <c r="AR14" s="331">
        <v>39112</v>
      </c>
      <c r="AS14" s="394">
        <f t="shared" si="22"/>
        <v>14</v>
      </c>
      <c r="AT14" s="331">
        <v>39817</v>
      </c>
      <c r="AU14" s="394">
        <f>ROUND((AT14/$AT$22*100),1)</f>
        <v>14</v>
      </c>
      <c r="AV14" s="331">
        <v>41483</v>
      </c>
      <c r="AW14" s="394">
        <f>ROUND((AV14/$AV$22*100),1)</f>
        <v>14.3</v>
      </c>
      <c r="AX14" s="331">
        <v>43008</v>
      </c>
      <c r="AY14" s="394">
        <f>ROUND((AX14/$AX$22*100),1)+0.1</f>
        <v>14.5</v>
      </c>
      <c r="AZ14" s="331">
        <v>52843</v>
      </c>
      <c r="BA14" s="394">
        <f t="shared" si="15"/>
        <v>17.3</v>
      </c>
      <c r="BB14" s="331">
        <v>53433</v>
      </c>
      <c r="BC14" s="394">
        <f t="shared" si="16"/>
        <v>17.100000000000001</v>
      </c>
      <c r="BD14" s="331">
        <v>59014</v>
      </c>
      <c r="BE14" s="394">
        <v>18.3</v>
      </c>
      <c r="BF14" s="331">
        <v>61153</v>
      </c>
      <c r="BG14" s="394">
        <v>18.7</v>
      </c>
      <c r="BH14" s="331">
        <v>61127</v>
      </c>
      <c r="BI14" s="394">
        <f t="shared" si="17"/>
        <v>18.598403251913787</v>
      </c>
      <c r="BJ14" s="331">
        <v>64909</v>
      </c>
      <c r="BK14" s="394">
        <f t="shared" si="18"/>
        <v>19.323675812136802</v>
      </c>
      <c r="BL14" s="331">
        <v>65581</v>
      </c>
      <c r="BM14" s="394">
        <v>18.899999999999999</v>
      </c>
      <c r="BN14" s="331">
        <v>65347</v>
      </c>
      <c r="BO14" s="394">
        <v>18.5</v>
      </c>
      <c r="BP14" s="331">
        <v>62858</v>
      </c>
      <c r="BQ14" s="394">
        <v>17.7</v>
      </c>
      <c r="BR14" s="331">
        <v>64091</v>
      </c>
      <c r="BS14" s="394">
        <v>17.5</v>
      </c>
      <c r="BT14" s="331">
        <v>65231</v>
      </c>
      <c r="BU14" s="394">
        <v>17.8</v>
      </c>
      <c r="BV14" s="331">
        <v>58294</v>
      </c>
      <c r="BW14" s="394">
        <v>16.5</v>
      </c>
      <c r="BX14" s="331">
        <v>60684</v>
      </c>
      <c r="BY14" s="394">
        <v>17.8</v>
      </c>
      <c r="BZ14" s="331">
        <v>48721</v>
      </c>
      <c r="CA14" s="394">
        <v>12.2</v>
      </c>
      <c r="CB14" s="331">
        <v>46164</v>
      </c>
      <c r="CC14" s="394">
        <v>11.8</v>
      </c>
      <c r="CD14" s="170">
        <v>48742</v>
      </c>
      <c r="CE14" s="394">
        <v>12.8</v>
      </c>
      <c r="CF14" s="547">
        <v>45783</v>
      </c>
      <c r="CG14" s="394">
        <v>12.2</v>
      </c>
      <c r="CH14" s="547">
        <v>42387</v>
      </c>
      <c r="CI14" s="394">
        <v>11.5</v>
      </c>
      <c r="CJ14" s="464">
        <f>41892702/1000</f>
        <v>41892.701999999997</v>
      </c>
      <c r="CK14" s="700">
        <v>0.113</v>
      </c>
    </row>
    <row r="15" spans="1:118" s="325" customFormat="1" ht="15" customHeight="1" x14ac:dyDescent="0.2">
      <c r="A15" s="328" t="s">
        <v>18</v>
      </c>
      <c r="B15" s="329">
        <f>17150+779</f>
        <v>17929</v>
      </c>
      <c r="C15" s="392">
        <f t="shared" si="0"/>
        <v>16.876576678338793</v>
      </c>
      <c r="D15" s="329">
        <v>19246</v>
      </c>
      <c r="E15" s="392">
        <f t="shared" si="1"/>
        <v>16.968190153759348</v>
      </c>
      <c r="F15" s="329">
        <v>21116</v>
      </c>
      <c r="G15" s="392">
        <f t="shared" si="19"/>
        <v>17.365988453377636</v>
      </c>
      <c r="H15" s="329">
        <v>24396</v>
      </c>
      <c r="I15" s="392">
        <f t="shared" si="20"/>
        <v>17.792753369508137</v>
      </c>
      <c r="J15" s="330">
        <v>26139</v>
      </c>
      <c r="K15" s="394">
        <f t="shared" ref="K15:K20" si="24">J15/$J$22*100</f>
        <v>18.110705402240715</v>
      </c>
      <c r="L15" s="330">
        <v>28916</v>
      </c>
      <c r="M15" s="394">
        <f t="shared" si="21"/>
        <v>18.7744289628485</v>
      </c>
      <c r="N15" s="330">
        <v>29371</v>
      </c>
      <c r="O15" s="394">
        <f t="shared" si="2"/>
        <v>17.650204920495653</v>
      </c>
      <c r="P15" s="330">
        <v>31066</v>
      </c>
      <c r="Q15" s="394">
        <f t="shared" si="23"/>
        <v>17.263204690061404</v>
      </c>
      <c r="R15" s="170">
        <v>31940</v>
      </c>
      <c r="S15" s="394">
        <f t="shared" si="3"/>
        <v>17.7</v>
      </c>
      <c r="T15" s="170">
        <v>33448</v>
      </c>
      <c r="U15" s="394">
        <f t="shared" si="4"/>
        <v>18.600000000000001</v>
      </c>
      <c r="V15" s="331">
        <v>34257</v>
      </c>
      <c r="W15" s="394">
        <f t="shared" si="5"/>
        <v>18.899999999999999</v>
      </c>
      <c r="X15" s="331">
        <v>36524</v>
      </c>
      <c r="Y15" s="394">
        <f t="shared" si="6"/>
        <v>19.100000000000001</v>
      </c>
      <c r="Z15" s="331">
        <v>38895</v>
      </c>
      <c r="AA15" s="394">
        <f>ROUND((Z15/$Z$22*100),1)+0.1</f>
        <v>19.700000000000003</v>
      </c>
      <c r="AB15" s="331">
        <v>42775</v>
      </c>
      <c r="AC15" s="394">
        <f t="shared" si="7"/>
        <v>20.5</v>
      </c>
      <c r="AD15" s="331">
        <v>45830</v>
      </c>
      <c r="AE15" s="394">
        <f t="shared" si="8"/>
        <v>21.1</v>
      </c>
      <c r="AF15" s="331">
        <v>51410</v>
      </c>
      <c r="AG15" s="394">
        <f t="shared" si="9"/>
        <v>22.3</v>
      </c>
      <c r="AH15" s="331">
        <v>54867</v>
      </c>
      <c r="AI15" s="394">
        <f t="shared" si="10"/>
        <v>22.9</v>
      </c>
      <c r="AJ15" s="331">
        <v>57317</v>
      </c>
      <c r="AK15" s="394">
        <f t="shared" si="11"/>
        <v>22.9</v>
      </c>
      <c r="AL15" s="331">
        <v>60607</v>
      </c>
      <c r="AM15" s="394">
        <f t="shared" si="12"/>
        <v>23.3</v>
      </c>
      <c r="AN15" s="331">
        <v>47906</v>
      </c>
      <c r="AO15" s="394">
        <f t="shared" si="13"/>
        <v>17.8</v>
      </c>
      <c r="AP15" s="331">
        <v>48483</v>
      </c>
      <c r="AQ15" s="394">
        <f t="shared" si="14"/>
        <v>18</v>
      </c>
      <c r="AR15" s="331">
        <v>50824</v>
      </c>
      <c r="AS15" s="394">
        <f t="shared" si="22"/>
        <v>18.2</v>
      </c>
      <c r="AT15" s="331">
        <v>52254</v>
      </c>
      <c r="AU15" s="394">
        <f>ROUND((AT15/$AT$22*100),1)</f>
        <v>18.399999999999999</v>
      </c>
      <c r="AV15" s="331">
        <v>53770</v>
      </c>
      <c r="AW15" s="394">
        <f>ROUND((AV15/$AV$22*100),1)</f>
        <v>18.5</v>
      </c>
      <c r="AX15" s="331">
        <v>54896</v>
      </c>
      <c r="AY15" s="394">
        <f>ROUND((AX15/$AX$22*100),1)</f>
        <v>18.399999999999999</v>
      </c>
      <c r="AZ15" s="331">
        <v>47329</v>
      </c>
      <c r="BA15" s="394">
        <f t="shared" si="15"/>
        <v>15.5</v>
      </c>
      <c r="BB15" s="331">
        <v>47924</v>
      </c>
      <c r="BC15" s="394">
        <f t="shared" si="16"/>
        <v>15.4</v>
      </c>
      <c r="BD15" s="331">
        <v>45326</v>
      </c>
      <c r="BE15" s="394">
        <v>14</v>
      </c>
      <c r="BF15" s="331">
        <v>45886</v>
      </c>
      <c r="BG15" s="394">
        <v>14</v>
      </c>
      <c r="BH15" s="331">
        <v>44520</v>
      </c>
      <c r="BI15" s="394">
        <f t="shared" si="17"/>
        <v>13.545583993574063</v>
      </c>
      <c r="BJ15" s="331">
        <v>42070</v>
      </c>
      <c r="BK15" s="394">
        <f t="shared" si="18"/>
        <v>12.524411736686671</v>
      </c>
      <c r="BL15" s="331">
        <v>43036</v>
      </c>
      <c r="BM15" s="394">
        <v>12.4</v>
      </c>
      <c r="BN15" s="331">
        <v>46077</v>
      </c>
      <c r="BO15" s="394">
        <v>13.1</v>
      </c>
      <c r="BP15" s="331">
        <v>46069</v>
      </c>
      <c r="BQ15" s="394">
        <v>13</v>
      </c>
      <c r="BR15" s="331">
        <v>43618</v>
      </c>
      <c r="BS15" s="394">
        <v>11.9</v>
      </c>
      <c r="BT15" s="331">
        <v>43946</v>
      </c>
      <c r="BU15" s="394">
        <v>12</v>
      </c>
      <c r="BV15" s="331">
        <v>43237</v>
      </c>
      <c r="BW15" s="394">
        <v>12.2</v>
      </c>
      <c r="BX15" s="331">
        <v>40987</v>
      </c>
      <c r="BY15" s="394">
        <v>12</v>
      </c>
      <c r="BZ15" s="331">
        <v>42125</v>
      </c>
      <c r="CA15" s="394">
        <v>10.5</v>
      </c>
      <c r="CB15" s="331">
        <v>38194</v>
      </c>
      <c r="CC15" s="394">
        <v>9.6999999999999993</v>
      </c>
      <c r="CD15" s="170">
        <v>38431</v>
      </c>
      <c r="CE15" s="394">
        <v>10.1</v>
      </c>
      <c r="CF15" s="547">
        <v>43612</v>
      </c>
      <c r="CG15" s="394">
        <v>11.6</v>
      </c>
      <c r="CH15" s="547">
        <v>42005</v>
      </c>
      <c r="CI15" s="394">
        <v>11.4</v>
      </c>
      <c r="CJ15" s="464">
        <f>39834585/1000</f>
        <v>39834.584999999999</v>
      </c>
      <c r="CK15" s="700">
        <v>0.108</v>
      </c>
    </row>
    <row r="16" spans="1:118" s="325" customFormat="1" ht="15" customHeight="1" x14ac:dyDescent="0.2">
      <c r="A16" s="328" t="s">
        <v>19</v>
      </c>
      <c r="B16" s="329">
        <f>1998+33</f>
        <v>2031</v>
      </c>
      <c r="C16" s="392">
        <f t="shared" si="0"/>
        <v>1.9117813170676605</v>
      </c>
      <c r="D16" s="329">
        <v>2047</v>
      </c>
      <c r="E16" s="392">
        <f t="shared" si="1"/>
        <v>1.8047326844406828</v>
      </c>
      <c r="F16" s="329">
        <v>2017</v>
      </c>
      <c r="G16" s="392">
        <f t="shared" si="19"/>
        <v>1.6587989538957515</v>
      </c>
      <c r="H16" s="329">
        <v>2100</v>
      </c>
      <c r="I16" s="392">
        <f t="shared" si="20"/>
        <v>1.5315946087869772</v>
      </c>
      <c r="J16" s="330">
        <v>2232</v>
      </c>
      <c r="K16" s="394">
        <f t="shared" si="24"/>
        <v>1.546466753043394</v>
      </c>
      <c r="L16" s="330">
        <v>2214</v>
      </c>
      <c r="M16" s="394">
        <f t="shared" si="21"/>
        <v>1.4374943188458491</v>
      </c>
      <c r="N16" s="330">
        <v>2367</v>
      </c>
      <c r="O16" s="394">
        <f t="shared" si="2"/>
        <v>1.4224246721873008</v>
      </c>
      <c r="P16" s="330">
        <v>2845</v>
      </c>
      <c r="Q16" s="394">
        <f t="shared" si="23"/>
        <v>1.5809507932538689</v>
      </c>
      <c r="R16" s="170">
        <v>3572</v>
      </c>
      <c r="S16" s="394">
        <f t="shared" si="3"/>
        <v>2</v>
      </c>
      <c r="T16" s="170">
        <v>4078</v>
      </c>
      <c r="U16" s="394">
        <f t="shared" si="4"/>
        <v>2.2999999999999998</v>
      </c>
      <c r="V16" s="331">
        <v>3925</v>
      </c>
      <c r="W16" s="394">
        <f t="shared" si="5"/>
        <v>2.2000000000000002</v>
      </c>
      <c r="X16" s="331">
        <v>3778</v>
      </c>
      <c r="Y16" s="394">
        <f t="shared" si="6"/>
        <v>2</v>
      </c>
      <c r="Z16" s="331">
        <v>3961</v>
      </c>
      <c r="AA16" s="394">
        <f>ROUND((Z16/$Z$22*100),1)</f>
        <v>2</v>
      </c>
      <c r="AB16" s="331">
        <v>4267</v>
      </c>
      <c r="AC16" s="394">
        <f t="shared" si="7"/>
        <v>2</v>
      </c>
      <c r="AD16" s="331">
        <v>4125</v>
      </c>
      <c r="AE16" s="394">
        <f t="shared" si="8"/>
        <v>1.9</v>
      </c>
      <c r="AF16" s="331">
        <v>4285</v>
      </c>
      <c r="AG16" s="394">
        <f t="shared" si="9"/>
        <v>1.9</v>
      </c>
      <c r="AH16" s="331">
        <v>4751</v>
      </c>
      <c r="AI16" s="394">
        <f t="shared" si="10"/>
        <v>2</v>
      </c>
      <c r="AJ16" s="331">
        <v>5095</v>
      </c>
      <c r="AK16" s="394">
        <f t="shared" si="11"/>
        <v>2</v>
      </c>
      <c r="AL16" s="331">
        <v>5268</v>
      </c>
      <c r="AM16" s="394">
        <f t="shared" si="12"/>
        <v>2</v>
      </c>
      <c r="AN16" s="331">
        <v>5847</v>
      </c>
      <c r="AO16" s="394">
        <f t="shared" si="13"/>
        <v>2.2000000000000002</v>
      </c>
      <c r="AP16" s="331">
        <v>6807</v>
      </c>
      <c r="AQ16" s="394">
        <f t="shared" si="14"/>
        <v>2.5</v>
      </c>
      <c r="AR16" s="331">
        <v>6356</v>
      </c>
      <c r="AS16" s="394">
        <f t="shared" si="22"/>
        <v>2.2999999999999998</v>
      </c>
      <c r="AT16" s="331">
        <v>7192</v>
      </c>
      <c r="AU16" s="394">
        <f>ROUND((AT16/$AT$22*100),1)+0.1</f>
        <v>2.6</v>
      </c>
      <c r="AV16" s="331">
        <v>7427</v>
      </c>
      <c r="AW16" s="394">
        <f>ROUND((AV16/$AV$22*100),1)-0.1</f>
        <v>2.5</v>
      </c>
      <c r="AX16" s="331">
        <v>7608</v>
      </c>
      <c r="AY16" s="394">
        <f>ROUND((AX16/$AX$22*100),1)+0.1</f>
        <v>2.7</v>
      </c>
      <c r="AZ16" s="331">
        <v>9070</v>
      </c>
      <c r="BA16" s="394">
        <f t="shared" si="15"/>
        <v>3</v>
      </c>
      <c r="BB16" s="331">
        <v>9590</v>
      </c>
      <c r="BC16" s="394">
        <f t="shared" si="16"/>
        <v>3.1</v>
      </c>
      <c r="BD16" s="331">
        <v>6668</v>
      </c>
      <c r="BE16" s="394">
        <v>2.1</v>
      </c>
      <c r="BF16" s="331">
        <v>7013</v>
      </c>
      <c r="BG16" s="394">
        <v>2.1</v>
      </c>
      <c r="BH16" s="331">
        <v>6224</v>
      </c>
      <c r="BI16" s="394">
        <f t="shared" si="17"/>
        <v>1.8937042851753139</v>
      </c>
      <c r="BJ16" s="331">
        <v>5734</v>
      </c>
      <c r="BK16" s="394">
        <f t="shared" si="18"/>
        <v>1.7070353434314567</v>
      </c>
      <c r="BL16" s="331">
        <v>6077</v>
      </c>
      <c r="BM16" s="394">
        <v>1.7</v>
      </c>
      <c r="BN16" s="331">
        <v>6655</v>
      </c>
      <c r="BO16" s="394">
        <v>1.9</v>
      </c>
      <c r="BP16" s="331">
        <v>7167</v>
      </c>
      <c r="BQ16" s="394">
        <v>2</v>
      </c>
      <c r="BR16" s="331">
        <v>9881</v>
      </c>
      <c r="BS16" s="394">
        <v>2.7</v>
      </c>
      <c r="BT16" s="331">
        <v>10027</v>
      </c>
      <c r="BU16" s="394">
        <v>2.7</v>
      </c>
      <c r="BV16" s="331">
        <v>8585</v>
      </c>
      <c r="BW16" s="394">
        <v>2.4</v>
      </c>
      <c r="BX16" s="331">
        <v>10279</v>
      </c>
      <c r="BY16" s="394">
        <v>3</v>
      </c>
      <c r="BZ16" s="331">
        <v>12226</v>
      </c>
      <c r="CA16" s="394">
        <v>3.1</v>
      </c>
      <c r="CB16" s="331">
        <v>13169</v>
      </c>
      <c r="CC16" s="394">
        <v>3.4</v>
      </c>
      <c r="CD16" s="170">
        <v>13131</v>
      </c>
      <c r="CE16" s="394">
        <v>3.4</v>
      </c>
      <c r="CF16" s="547">
        <v>12331</v>
      </c>
      <c r="CG16" s="394">
        <v>3.3</v>
      </c>
      <c r="CH16" s="547">
        <v>12300</v>
      </c>
      <c r="CI16" s="394">
        <v>3.3</v>
      </c>
      <c r="CJ16" s="464">
        <f>12932534/1000</f>
        <v>12932.534</v>
      </c>
      <c r="CK16" s="700">
        <v>3.5000000000000003E-2</v>
      </c>
    </row>
    <row r="17" spans="1:121" s="325" customFormat="1" ht="15" customHeight="1" x14ac:dyDescent="0.2">
      <c r="A17" s="328" t="s">
        <v>20</v>
      </c>
      <c r="B17" s="329">
        <f>896+12</f>
        <v>908</v>
      </c>
      <c r="C17" s="392">
        <f t="shared" si="0"/>
        <v>0.85470085470085477</v>
      </c>
      <c r="D17" s="329">
        <v>959</v>
      </c>
      <c r="E17" s="392">
        <f t="shared" si="1"/>
        <v>0.84550007053180976</v>
      </c>
      <c r="F17" s="329">
        <v>973</v>
      </c>
      <c r="G17" s="392">
        <f t="shared" si="19"/>
        <v>0.80020395743211015</v>
      </c>
      <c r="H17" s="329">
        <v>1034</v>
      </c>
      <c r="I17" s="392">
        <f t="shared" si="20"/>
        <v>0.75412801213606395</v>
      </c>
      <c r="J17" s="330">
        <v>1081</v>
      </c>
      <c r="K17" s="394">
        <f t="shared" si="24"/>
        <v>0.74898322582433197</v>
      </c>
      <c r="L17" s="330">
        <v>1205</v>
      </c>
      <c r="M17" s="394">
        <f t="shared" si="21"/>
        <v>0.78237608591203622</v>
      </c>
      <c r="N17" s="330">
        <v>1236</v>
      </c>
      <c r="O17" s="394">
        <f t="shared" si="2"/>
        <v>0.7427616792663726</v>
      </c>
      <c r="P17" s="330">
        <v>1367</v>
      </c>
      <c r="Q17" s="394">
        <f t="shared" si="23"/>
        <v>0.75963435303270266</v>
      </c>
      <c r="R17" s="170">
        <v>1748</v>
      </c>
      <c r="S17" s="394">
        <f t="shared" si="3"/>
        <v>1</v>
      </c>
      <c r="T17" s="170">
        <v>1786</v>
      </c>
      <c r="U17" s="394">
        <f t="shared" si="4"/>
        <v>1</v>
      </c>
      <c r="V17" s="331">
        <v>1840</v>
      </c>
      <c r="W17" s="394">
        <f t="shared" si="5"/>
        <v>1</v>
      </c>
      <c r="X17" s="331">
        <v>1916</v>
      </c>
      <c r="Y17" s="394">
        <f t="shared" si="6"/>
        <v>1</v>
      </c>
      <c r="Z17" s="331">
        <v>1788</v>
      </c>
      <c r="AA17" s="394">
        <f>ROUND((Z17/$Z$22*100),1)</f>
        <v>0.9</v>
      </c>
      <c r="AB17" s="331">
        <v>1741</v>
      </c>
      <c r="AC17" s="394">
        <f t="shared" si="7"/>
        <v>0.8</v>
      </c>
      <c r="AD17" s="331">
        <v>1884</v>
      </c>
      <c r="AE17" s="394">
        <f t="shared" si="8"/>
        <v>0.9</v>
      </c>
      <c r="AF17" s="331">
        <v>1824</v>
      </c>
      <c r="AG17" s="394">
        <f t="shared" si="9"/>
        <v>0.8</v>
      </c>
      <c r="AH17" s="331">
        <v>1919</v>
      </c>
      <c r="AI17" s="394">
        <f t="shared" si="10"/>
        <v>0.8</v>
      </c>
      <c r="AJ17" s="331">
        <v>2063</v>
      </c>
      <c r="AK17" s="394">
        <f t="shared" si="11"/>
        <v>0.8</v>
      </c>
      <c r="AL17" s="331">
        <v>2305</v>
      </c>
      <c r="AM17" s="394">
        <f t="shared" si="12"/>
        <v>0.9</v>
      </c>
      <c r="AN17" s="331">
        <v>2452</v>
      </c>
      <c r="AO17" s="394">
        <f t="shared" si="13"/>
        <v>0.9</v>
      </c>
      <c r="AP17" s="331">
        <v>2305</v>
      </c>
      <c r="AQ17" s="394">
        <f t="shared" si="14"/>
        <v>0.9</v>
      </c>
      <c r="AR17" s="331">
        <v>3273</v>
      </c>
      <c r="AS17" s="394">
        <f t="shared" si="22"/>
        <v>1.2</v>
      </c>
      <c r="AT17" s="331">
        <v>2548</v>
      </c>
      <c r="AU17" s="394">
        <f>ROUND((AT17/$AT$22*100),1)</f>
        <v>0.9</v>
      </c>
      <c r="AV17" s="331">
        <v>2725</v>
      </c>
      <c r="AW17" s="394">
        <f>ROUND((AV17/$AV$22*100),1)</f>
        <v>0.9</v>
      </c>
      <c r="AX17" s="331">
        <v>2763</v>
      </c>
      <c r="AY17" s="394">
        <f>ROUND((AX17/$AX$22*100),1)</f>
        <v>0.9</v>
      </c>
      <c r="AZ17" s="331">
        <v>2636</v>
      </c>
      <c r="BA17" s="394">
        <f t="shared" si="15"/>
        <v>0.9</v>
      </c>
      <c r="BB17" s="331">
        <v>2693</v>
      </c>
      <c r="BC17" s="394">
        <f t="shared" si="16"/>
        <v>0.9</v>
      </c>
      <c r="BD17" s="331">
        <v>4032</v>
      </c>
      <c r="BE17" s="394">
        <v>1.2</v>
      </c>
      <c r="BF17" s="331">
        <v>4358</v>
      </c>
      <c r="BG17" s="394">
        <v>1.3</v>
      </c>
      <c r="BH17" s="331">
        <v>4108</v>
      </c>
      <c r="BI17" s="394">
        <f t="shared" si="17"/>
        <v>1.2498935095597989</v>
      </c>
      <c r="BJ17" s="331">
        <v>4421</v>
      </c>
      <c r="BK17" s="394">
        <f t="shared" si="18"/>
        <v>1.3161498523387634</v>
      </c>
      <c r="BL17" s="331">
        <v>4776</v>
      </c>
      <c r="BM17" s="394">
        <v>1.4</v>
      </c>
      <c r="BN17" s="331">
        <v>3842</v>
      </c>
      <c r="BO17" s="394">
        <v>1.1000000000000001</v>
      </c>
      <c r="BP17" s="331">
        <v>3846</v>
      </c>
      <c r="BQ17" s="394">
        <v>1.1000000000000001</v>
      </c>
      <c r="BR17" s="331">
        <v>3718</v>
      </c>
      <c r="BS17" s="394">
        <v>1</v>
      </c>
      <c r="BT17" s="331">
        <v>3794</v>
      </c>
      <c r="BU17" s="394">
        <v>1</v>
      </c>
      <c r="BV17" s="331">
        <v>4795</v>
      </c>
      <c r="BW17" s="394">
        <v>1.3</v>
      </c>
      <c r="BX17" s="331">
        <v>5331</v>
      </c>
      <c r="BY17" s="394">
        <v>1.5</v>
      </c>
      <c r="BZ17" s="331">
        <v>6147</v>
      </c>
      <c r="CA17" s="394">
        <v>1.5</v>
      </c>
      <c r="CB17" s="331">
        <v>6248</v>
      </c>
      <c r="CC17" s="394">
        <v>1.6</v>
      </c>
      <c r="CD17" s="170">
        <v>7423</v>
      </c>
      <c r="CE17" s="394">
        <v>1.9</v>
      </c>
      <c r="CF17" s="547">
        <v>7371</v>
      </c>
      <c r="CG17" s="394">
        <v>2</v>
      </c>
      <c r="CH17" s="547">
        <v>6986</v>
      </c>
      <c r="CI17" s="394">
        <v>1.9</v>
      </c>
      <c r="CJ17" s="464">
        <f>7657446/1000</f>
        <v>7657.4459999999999</v>
      </c>
      <c r="CK17" s="700">
        <v>2.1000000000000001E-2</v>
      </c>
    </row>
    <row r="18" spans="1:121" s="325" customFormat="1" ht="15" customHeight="1" x14ac:dyDescent="0.2">
      <c r="A18" s="328" t="s">
        <v>21</v>
      </c>
      <c r="B18" s="329">
        <f>801+8</f>
        <v>809</v>
      </c>
      <c r="C18" s="392">
        <f t="shared" si="0"/>
        <v>0.7615121051244399</v>
      </c>
      <c r="D18" s="329">
        <v>964</v>
      </c>
      <c r="E18" s="392">
        <f t="shared" si="1"/>
        <v>0.84990830864719991</v>
      </c>
      <c r="F18" s="329">
        <v>859</v>
      </c>
      <c r="G18" s="392">
        <f t="shared" si="19"/>
        <v>0.70644933138148258</v>
      </c>
      <c r="H18" s="329">
        <v>849</v>
      </c>
      <c r="I18" s="392">
        <f t="shared" si="20"/>
        <v>0.61920182040959215</v>
      </c>
      <c r="J18" s="330">
        <v>973</v>
      </c>
      <c r="K18" s="394">
        <f t="shared" si="24"/>
        <v>0.67415418938674843</v>
      </c>
      <c r="L18" s="330">
        <v>1186</v>
      </c>
      <c r="M18" s="394">
        <f t="shared" si="21"/>
        <v>0.7700398654702697</v>
      </c>
      <c r="N18" s="330">
        <v>1060</v>
      </c>
      <c r="O18" s="394">
        <f t="shared" si="2"/>
        <v>0.63699626215400884</v>
      </c>
      <c r="P18" s="330">
        <v>1228</v>
      </c>
      <c r="Q18" s="394">
        <f t="shared" si="23"/>
        <v>0.68239282042732907</v>
      </c>
      <c r="R18" s="170">
        <v>1502</v>
      </c>
      <c r="S18" s="394">
        <f t="shared" si="3"/>
        <v>0.8</v>
      </c>
      <c r="T18" s="170">
        <v>1947</v>
      </c>
      <c r="U18" s="394">
        <f t="shared" si="4"/>
        <v>1.1000000000000001</v>
      </c>
      <c r="V18" s="331">
        <v>1629</v>
      </c>
      <c r="W18" s="394">
        <f t="shared" si="5"/>
        <v>0.9</v>
      </c>
      <c r="X18" s="331">
        <v>1791</v>
      </c>
      <c r="Y18" s="394">
        <f t="shared" si="6"/>
        <v>0.9</v>
      </c>
      <c r="Z18" s="331">
        <v>1745</v>
      </c>
      <c r="AA18" s="394">
        <f>ROUND((Z18/$Z$22*100),1)</f>
        <v>0.9</v>
      </c>
      <c r="AB18" s="331">
        <v>1885</v>
      </c>
      <c r="AC18" s="394">
        <f t="shared" si="7"/>
        <v>0.9</v>
      </c>
      <c r="AD18" s="331">
        <v>1649</v>
      </c>
      <c r="AE18" s="394">
        <f>ROUND((AD18/$AD$22*100),1)-0.1</f>
        <v>0.70000000000000007</v>
      </c>
      <c r="AF18" s="331">
        <v>1653</v>
      </c>
      <c r="AG18" s="394">
        <f>ROUND((AF18/$AF$22*100),1)-0.1</f>
        <v>0.6</v>
      </c>
      <c r="AH18" s="331">
        <v>1735</v>
      </c>
      <c r="AI18" s="394">
        <f>ROUND((AH18/$AH$22*100),1)-0.1</f>
        <v>0.6</v>
      </c>
      <c r="AJ18" s="331">
        <v>1984</v>
      </c>
      <c r="AK18" s="394">
        <f t="shared" si="11"/>
        <v>0.8</v>
      </c>
      <c r="AL18" s="331">
        <v>1849</v>
      </c>
      <c r="AM18" s="394">
        <f t="shared" si="12"/>
        <v>0.7</v>
      </c>
      <c r="AN18" s="331">
        <v>1963</v>
      </c>
      <c r="AO18" s="394">
        <f t="shared" si="13"/>
        <v>0.7</v>
      </c>
      <c r="AP18" s="331">
        <v>2042</v>
      </c>
      <c r="AQ18" s="394">
        <f t="shared" si="14"/>
        <v>0.8</v>
      </c>
      <c r="AR18" s="331">
        <v>2236</v>
      </c>
      <c r="AS18" s="394">
        <f t="shared" si="22"/>
        <v>0.8</v>
      </c>
      <c r="AT18" s="331">
        <v>2139</v>
      </c>
      <c r="AU18" s="394">
        <f>ROUND((AT18/$AT$22*100),1)</f>
        <v>0.8</v>
      </c>
      <c r="AV18" s="331">
        <v>2026</v>
      </c>
      <c r="AW18" s="394">
        <f>ROUND((AV18/$AV$22*100),1)</f>
        <v>0.7</v>
      </c>
      <c r="AX18" s="331">
        <v>2167</v>
      </c>
      <c r="AY18" s="394">
        <f>ROUND((AX18/$AX$22*100),1)</f>
        <v>0.7</v>
      </c>
      <c r="AZ18" s="331">
        <v>2452</v>
      </c>
      <c r="BA18" s="394">
        <f t="shared" si="15"/>
        <v>0.8</v>
      </c>
      <c r="BB18" s="331">
        <v>2225</v>
      </c>
      <c r="BC18" s="394">
        <f t="shared" si="16"/>
        <v>0.7</v>
      </c>
      <c r="BD18" s="331">
        <v>2023</v>
      </c>
      <c r="BE18" s="394">
        <v>0.6</v>
      </c>
      <c r="BF18" s="331">
        <v>2220</v>
      </c>
      <c r="BG18" s="394">
        <v>0.7</v>
      </c>
      <c r="BH18" s="331">
        <v>2837</v>
      </c>
      <c r="BI18" s="394">
        <f t="shared" si="17"/>
        <v>0.86318108242968583</v>
      </c>
      <c r="BJ18" s="331">
        <v>2314</v>
      </c>
      <c r="BK18" s="394">
        <f t="shared" si="18"/>
        <v>0.68888730113365726</v>
      </c>
      <c r="BL18" s="331">
        <v>2329</v>
      </c>
      <c r="BM18" s="394">
        <v>0.7</v>
      </c>
      <c r="BN18" s="331">
        <v>3678</v>
      </c>
      <c r="BO18" s="394">
        <v>1</v>
      </c>
      <c r="BP18" s="331">
        <v>3583</v>
      </c>
      <c r="BQ18" s="394">
        <v>1</v>
      </c>
      <c r="BR18" s="331">
        <v>3185</v>
      </c>
      <c r="BS18" s="394">
        <v>0.9</v>
      </c>
      <c r="BT18" s="331">
        <v>3445</v>
      </c>
      <c r="BU18" s="394">
        <v>0.9</v>
      </c>
      <c r="BV18" s="331">
        <v>3180</v>
      </c>
      <c r="BW18" s="394">
        <v>0.9</v>
      </c>
      <c r="BX18" s="331">
        <v>3386</v>
      </c>
      <c r="BY18" s="394">
        <v>1</v>
      </c>
      <c r="BZ18" s="331">
        <v>3529</v>
      </c>
      <c r="CA18" s="394">
        <v>0.9</v>
      </c>
      <c r="CB18" s="331">
        <v>3765</v>
      </c>
      <c r="CC18" s="394">
        <v>1</v>
      </c>
      <c r="CD18" s="170">
        <v>3732</v>
      </c>
      <c r="CE18" s="394">
        <v>1</v>
      </c>
      <c r="CF18" s="547">
        <v>3824</v>
      </c>
      <c r="CG18" s="394">
        <v>1</v>
      </c>
      <c r="CH18" s="547">
        <v>4270</v>
      </c>
      <c r="CI18" s="394">
        <v>1.2</v>
      </c>
      <c r="CJ18" s="464">
        <f>4272339/1000</f>
        <v>4272.3389999999999</v>
      </c>
      <c r="CK18" s="700">
        <v>1.2E-2</v>
      </c>
    </row>
    <row r="19" spans="1:121" s="325" customFormat="1" ht="15" customHeight="1" x14ac:dyDescent="0.2">
      <c r="A19" s="328" t="s">
        <v>22</v>
      </c>
      <c r="B19" s="329">
        <f>727+6</f>
        <v>733</v>
      </c>
      <c r="C19" s="392">
        <f t="shared" si="0"/>
        <v>0.68997326706577811</v>
      </c>
      <c r="D19" s="329">
        <v>779</v>
      </c>
      <c r="E19" s="392">
        <f t="shared" si="1"/>
        <v>0.68680349837776833</v>
      </c>
      <c r="F19" s="329">
        <v>783</v>
      </c>
      <c r="G19" s="392">
        <f t="shared" si="19"/>
        <v>0.64394624734773098</v>
      </c>
      <c r="H19" s="329">
        <v>767</v>
      </c>
      <c r="I19" s="392">
        <f t="shared" si="20"/>
        <v>0.55939669759029109</v>
      </c>
      <c r="J19" s="330">
        <v>746</v>
      </c>
      <c r="K19" s="394">
        <f t="shared" si="24"/>
        <v>0.5168746405781236</v>
      </c>
      <c r="L19" s="330">
        <v>838</v>
      </c>
      <c r="M19" s="394">
        <f t="shared" si="21"/>
        <v>0.54409224895791397</v>
      </c>
      <c r="N19" s="330">
        <v>849</v>
      </c>
      <c r="O19" s="394">
        <f t="shared" si="2"/>
        <v>0.51019794959316378</v>
      </c>
      <c r="P19" s="330">
        <v>839</v>
      </c>
      <c r="Q19" s="394">
        <f t="shared" si="23"/>
        <v>0.4662276680281181</v>
      </c>
      <c r="R19" s="170">
        <v>1324</v>
      </c>
      <c r="S19" s="394">
        <f t="shared" si="3"/>
        <v>0.7</v>
      </c>
      <c r="T19" s="170">
        <v>1367</v>
      </c>
      <c r="U19" s="394">
        <f>ROUND((T19/$T$22*100),1)-0.1</f>
        <v>0.70000000000000007</v>
      </c>
      <c r="V19" s="331">
        <v>1447</v>
      </c>
      <c r="W19" s="394">
        <f t="shared" si="5"/>
        <v>0.8</v>
      </c>
      <c r="X19" s="331">
        <v>1339</v>
      </c>
      <c r="Y19" s="394">
        <f t="shared" si="6"/>
        <v>0.7</v>
      </c>
      <c r="Z19" s="331">
        <v>1430</v>
      </c>
      <c r="AA19" s="394">
        <f>ROUND((Z19/$Z$22*100),1)</f>
        <v>0.7</v>
      </c>
      <c r="AB19" s="331">
        <v>1398</v>
      </c>
      <c r="AC19" s="394">
        <f t="shared" si="7"/>
        <v>0.7</v>
      </c>
      <c r="AD19" s="331">
        <v>1307</v>
      </c>
      <c r="AE19" s="394">
        <f>ROUND((AD19/$AD$22*100),1)</f>
        <v>0.6</v>
      </c>
      <c r="AF19" s="331">
        <v>1329</v>
      </c>
      <c r="AG19" s="394">
        <f>ROUND((AF19/$AF$22*100),1)</f>
        <v>0.6</v>
      </c>
      <c r="AH19" s="331">
        <v>1368</v>
      </c>
      <c r="AI19" s="394">
        <f>ROUND((AH19/$AH$22*100),1)</f>
        <v>0.6</v>
      </c>
      <c r="AJ19" s="331">
        <v>1491</v>
      </c>
      <c r="AK19" s="394">
        <f t="shared" si="11"/>
        <v>0.6</v>
      </c>
      <c r="AL19" s="331">
        <v>1555</v>
      </c>
      <c r="AM19" s="394">
        <f t="shared" si="12"/>
        <v>0.6</v>
      </c>
      <c r="AN19" s="331">
        <v>1763</v>
      </c>
      <c r="AO19" s="394">
        <f t="shared" si="13"/>
        <v>0.7</v>
      </c>
      <c r="AP19" s="331">
        <v>1736</v>
      </c>
      <c r="AQ19" s="394">
        <f t="shared" si="14"/>
        <v>0.6</v>
      </c>
      <c r="AR19" s="331">
        <v>1838</v>
      </c>
      <c r="AS19" s="394">
        <f t="shared" si="22"/>
        <v>0.7</v>
      </c>
      <c r="AT19" s="331">
        <v>1810</v>
      </c>
      <c r="AU19" s="394">
        <f>ROUND((AT19/$AT$22*100),1)</f>
        <v>0.6</v>
      </c>
      <c r="AV19" s="331">
        <v>1798</v>
      </c>
      <c r="AW19" s="394">
        <f>ROUND((AV19/$AV$22*100),1)</f>
        <v>0.6</v>
      </c>
      <c r="AX19" s="331">
        <v>1768</v>
      </c>
      <c r="AY19" s="394">
        <f>ROUND((AX19/$AX$22*100),1)</f>
        <v>0.6</v>
      </c>
      <c r="AZ19" s="331">
        <v>1859</v>
      </c>
      <c r="BA19" s="394">
        <f t="shared" si="15"/>
        <v>0.6</v>
      </c>
      <c r="BB19" s="331">
        <v>1659</v>
      </c>
      <c r="BC19" s="394">
        <f t="shared" si="16"/>
        <v>0.5</v>
      </c>
      <c r="BD19" s="331">
        <v>1652</v>
      </c>
      <c r="BE19" s="394">
        <v>0.5</v>
      </c>
      <c r="BF19" s="331">
        <v>1739</v>
      </c>
      <c r="BG19" s="394">
        <v>0.5</v>
      </c>
      <c r="BH19" s="331">
        <v>1906</v>
      </c>
      <c r="BI19" s="394">
        <f t="shared" si="17"/>
        <v>0.57991651149488244</v>
      </c>
      <c r="BJ19" s="331">
        <v>1968</v>
      </c>
      <c r="BK19" s="394">
        <f t="shared" si="18"/>
        <v>0.58588168048013711</v>
      </c>
      <c r="BL19" s="331">
        <v>1932</v>
      </c>
      <c r="BM19" s="394">
        <v>0.6</v>
      </c>
      <c r="BN19" s="331">
        <v>2062</v>
      </c>
      <c r="BO19" s="394">
        <v>0.6</v>
      </c>
      <c r="BP19" s="331">
        <v>2144</v>
      </c>
      <c r="BQ19" s="394">
        <v>0.6</v>
      </c>
      <c r="BR19" s="331">
        <v>2059</v>
      </c>
      <c r="BS19" s="394">
        <v>0.6</v>
      </c>
      <c r="BT19" s="331">
        <v>2091</v>
      </c>
      <c r="BU19" s="394">
        <v>0.6</v>
      </c>
      <c r="BV19" s="331">
        <v>3787</v>
      </c>
      <c r="BW19" s="394">
        <v>1.1000000000000001</v>
      </c>
      <c r="BX19" s="331">
        <v>2759</v>
      </c>
      <c r="BY19" s="394">
        <v>0.8</v>
      </c>
      <c r="BZ19" s="331">
        <v>3077</v>
      </c>
      <c r="CA19" s="394">
        <v>0.8</v>
      </c>
      <c r="CB19" s="331">
        <v>3106</v>
      </c>
      <c r="CC19" s="394">
        <v>0.8</v>
      </c>
      <c r="CD19" s="170">
        <v>2936</v>
      </c>
      <c r="CE19" s="394">
        <v>0.8</v>
      </c>
      <c r="CF19" s="547">
        <v>3263</v>
      </c>
      <c r="CG19" s="394">
        <v>0.9</v>
      </c>
      <c r="CH19" s="547">
        <v>2991</v>
      </c>
      <c r="CI19" s="394">
        <v>0.8</v>
      </c>
      <c r="CJ19" s="464">
        <f>2961218/1000</f>
        <v>2961.2179999999998</v>
      </c>
      <c r="CK19" s="700">
        <v>8.0000000000000002E-3</v>
      </c>
    </row>
    <row r="20" spans="1:121" s="325" customFormat="1" ht="15" customHeight="1" x14ac:dyDescent="0.2">
      <c r="A20" s="328" t="s">
        <v>23</v>
      </c>
      <c r="B20" s="329">
        <f>3445+72</f>
        <v>3517</v>
      </c>
      <c r="C20" s="392">
        <f t="shared" si="0"/>
        <v>3.3105538612146539</v>
      </c>
      <c r="D20" s="329">
        <v>3579</v>
      </c>
      <c r="E20" s="392">
        <f t="shared" si="1"/>
        <v>3.1554168429961913</v>
      </c>
      <c r="F20" s="329">
        <v>3926</v>
      </c>
      <c r="G20" s="392">
        <f t="shared" si="19"/>
        <v>3.2287777357435399</v>
      </c>
      <c r="H20" s="329">
        <v>4163</v>
      </c>
      <c r="I20" s="392">
        <f t="shared" si="20"/>
        <v>3.0362039792286599</v>
      </c>
      <c r="J20" s="330">
        <v>4242</v>
      </c>
      <c r="K20" s="394">
        <f t="shared" si="24"/>
        <v>2.9391182645206437</v>
      </c>
      <c r="L20" s="330">
        <v>4457</v>
      </c>
      <c r="M20" s="394">
        <f t="shared" si="21"/>
        <v>2.8938176057343949</v>
      </c>
      <c r="N20" s="330">
        <v>4900</v>
      </c>
      <c r="O20" s="394">
        <f t="shared" si="2"/>
        <v>2.9446053627873994</v>
      </c>
      <c r="P20" s="330">
        <v>5361</v>
      </c>
      <c r="Q20" s="394">
        <f t="shared" si="23"/>
        <v>2.9790781028590478</v>
      </c>
      <c r="R20" s="170">
        <v>5599</v>
      </c>
      <c r="S20" s="394">
        <f t="shared" si="3"/>
        <v>3.1</v>
      </c>
      <c r="T20" s="170">
        <v>6405</v>
      </c>
      <c r="U20" s="394">
        <f>ROUND((T20/$T$22*100),1)</f>
        <v>3.6</v>
      </c>
      <c r="V20" s="331">
        <v>7568</v>
      </c>
      <c r="W20" s="394">
        <f t="shared" si="5"/>
        <v>4.2</v>
      </c>
      <c r="X20" s="331">
        <v>8798</v>
      </c>
      <c r="Y20" s="394">
        <f t="shared" si="6"/>
        <v>4.5999999999999996</v>
      </c>
      <c r="Z20" s="331">
        <v>8199</v>
      </c>
      <c r="AA20" s="394">
        <f>ROUND((Z20/$Z$22*100),1)</f>
        <v>4.0999999999999996</v>
      </c>
      <c r="AB20" s="331">
        <v>7943</v>
      </c>
      <c r="AC20" s="394">
        <f t="shared" si="7"/>
        <v>3.8</v>
      </c>
      <c r="AD20" s="331">
        <v>8223</v>
      </c>
      <c r="AE20" s="394">
        <f>ROUND((AD20/$AD$22*100),1)</f>
        <v>3.8</v>
      </c>
      <c r="AF20" s="331">
        <v>8294</v>
      </c>
      <c r="AG20" s="394">
        <f>ROUND((AF20/$AF$22*100),1)</f>
        <v>3.6</v>
      </c>
      <c r="AH20" s="331">
        <v>8469</v>
      </c>
      <c r="AI20" s="394">
        <f>ROUND((AH20/$AH$22*100),1)</f>
        <v>3.5</v>
      </c>
      <c r="AJ20" s="331">
        <v>8715</v>
      </c>
      <c r="AK20" s="394">
        <f t="shared" si="11"/>
        <v>3.5</v>
      </c>
      <c r="AL20" s="331">
        <v>9258</v>
      </c>
      <c r="AM20" s="394">
        <f>ROUND((AL20/$AL$22*100),1)-0.1</f>
        <v>3.5</v>
      </c>
      <c r="AN20" s="331">
        <v>9618</v>
      </c>
      <c r="AO20" s="394">
        <f t="shared" si="13"/>
        <v>3.6</v>
      </c>
      <c r="AP20" s="331">
        <v>10105</v>
      </c>
      <c r="AQ20" s="394">
        <f>ROUND((AP20/$AP$22*100),1)-0.1</f>
        <v>3.6</v>
      </c>
      <c r="AR20" s="331">
        <v>10173</v>
      </c>
      <c r="AS20" s="394">
        <f>ROUND((AR20/$AR$22*100),1)-0.1</f>
        <v>3.5</v>
      </c>
      <c r="AT20" s="331">
        <v>10536</v>
      </c>
      <c r="AU20" s="394">
        <f>ROUND((AT20/$AT$22*100),1)-0.1</f>
        <v>3.6</v>
      </c>
      <c r="AV20" s="331">
        <v>10833</v>
      </c>
      <c r="AW20" s="394">
        <f>ROUND((AV20/$AV$22*100),1)</f>
        <v>3.7</v>
      </c>
      <c r="AX20" s="331">
        <v>10758</v>
      </c>
      <c r="AY20" s="394">
        <f>ROUND((AX20/$AX$22*100),1)-0.1</f>
        <v>3.5</v>
      </c>
      <c r="AZ20" s="331">
        <v>10630</v>
      </c>
      <c r="BA20" s="394">
        <f>ROUND((AZ20/$AZ$22*100),1)-0.1</f>
        <v>3.4</v>
      </c>
      <c r="BB20" s="331">
        <v>10791</v>
      </c>
      <c r="BC20" s="394">
        <f t="shared" si="16"/>
        <v>3.5</v>
      </c>
      <c r="BD20" s="331">
        <v>10984</v>
      </c>
      <c r="BE20" s="394">
        <v>3.4</v>
      </c>
      <c r="BF20" s="331">
        <v>10397</v>
      </c>
      <c r="BG20" s="394">
        <v>3.2</v>
      </c>
      <c r="BH20" s="331">
        <v>10537</v>
      </c>
      <c r="BI20" s="394">
        <f t="shared" si="17"/>
        <v>3.2059707668528725</v>
      </c>
      <c r="BJ20" s="331">
        <v>11563</v>
      </c>
      <c r="BK20" s="394">
        <f t="shared" si="18"/>
        <v>3.4423525769267411</v>
      </c>
      <c r="BL20" s="331">
        <v>11918</v>
      </c>
      <c r="BM20" s="394">
        <v>3.4</v>
      </c>
      <c r="BN20" s="331">
        <v>11774</v>
      </c>
      <c r="BO20" s="394">
        <v>3.3</v>
      </c>
      <c r="BP20" s="331">
        <v>11924</v>
      </c>
      <c r="BQ20" s="394">
        <v>3.4</v>
      </c>
      <c r="BR20" s="331">
        <v>14462</v>
      </c>
      <c r="BS20" s="394">
        <v>3.9</v>
      </c>
      <c r="BT20" s="331">
        <v>15053</v>
      </c>
      <c r="BU20" s="394">
        <v>4.0999999999999996</v>
      </c>
      <c r="BV20" s="331">
        <v>15071</v>
      </c>
      <c r="BW20" s="394">
        <v>4.3</v>
      </c>
      <c r="BX20" s="331">
        <v>16775</v>
      </c>
      <c r="BY20" s="394">
        <v>4.9000000000000004</v>
      </c>
      <c r="BZ20" s="331">
        <v>23472</v>
      </c>
      <c r="CA20" s="394">
        <v>5.9</v>
      </c>
      <c r="CB20" s="331">
        <v>23722</v>
      </c>
      <c r="CC20" s="394">
        <v>6</v>
      </c>
      <c r="CD20" s="170">
        <v>22970</v>
      </c>
      <c r="CE20" s="394">
        <v>6</v>
      </c>
      <c r="CF20" s="547">
        <v>20600</v>
      </c>
      <c r="CG20" s="394">
        <v>5.5</v>
      </c>
      <c r="CH20" s="547">
        <v>19793</v>
      </c>
      <c r="CI20" s="394">
        <v>5.4</v>
      </c>
      <c r="CJ20" s="464">
        <f>19561488/1000</f>
        <v>19561.488000000001</v>
      </c>
      <c r="CK20" s="700">
        <v>5.2999999999999999E-2</v>
      </c>
    </row>
    <row r="21" spans="1:121" s="311" customFormat="1" ht="5.0999999999999996" customHeight="1" x14ac:dyDescent="0.2">
      <c r="A21" s="332"/>
      <c r="B21" s="333"/>
      <c r="C21" s="393"/>
      <c r="D21" s="333"/>
      <c r="E21" s="393"/>
      <c r="F21" s="333"/>
      <c r="G21" s="393"/>
      <c r="H21" s="333"/>
      <c r="I21" s="393"/>
      <c r="J21" s="333"/>
      <c r="K21" s="393"/>
      <c r="L21" s="333"/>
      <c r="M21" s="393"/>
      <c r="N21" s="332"/>
      <c r="O21" s="395"/>
      <c r="P21" s="332"/>
      <c r="Q21" s="395"/>
      <c r="R21" s="334"/>
      <c r="S21" s="395"/>
      <c r="T21" s="334"/>
      <c r="U21" s="395"/>
      <c r="V21" s="335"/>
      <c r="W21" s="395"/>
      <c r="X21" s="335"/>
      <c r="Y21" s="395"/>
      <c r="Z21" s="335"/>
      <c r="AA21" s="395"/>
      <c r="AB21" s="335"/>
      <c r="AC21" s="395"/>
      <c r="AD21" s="335"/>
      <c r="AE21" s="332"/>
      <c r="AF21" s="335"/>
      <c r="AG21" s="332"/>
      <c r="AH21" s="335"/>
      <c r="AI21" s="395"/>
      <c r="AJ21" s="335"/>
      <c r="AK21" s="395"/>
      <c r="AL21" s="335"/>
      <c r="AM21" s="395"/>
      <c r="AN21" s="335"/>
      <c r="AO21" s="395"/>
      <c r="AP21" s="335"/>
      <c r="AQ21" s="395"/>
      <c r="AR21" s="335"/>
      <c r="AS21" s="395"/>
      <c r="AT21" s="335"/>
      <c r="AU21" s="395"/>
      <c r="AV21" s="335"/>
      <c r="AW21" s="395"/>
      <c r="AX21" s="335"/>
      <c r="AY21" s="395"/>
      <c r="AZ21" s="335"/>
      <c r="BA21" s="395"/>
      <c r="BB21" s="335"/>
      <c r="BC21" s="395"/>
      <c r="BD21" s="335"/>
      <c r="BE21" s="395"/>
      <c r="BF21" s="335"/>
      <c r="BG21" s="395"/>
      <c r="BH21" s="335"/>
      <c r="BI21" s="395"/>
      <c r="BJ21" s="335"/>
      <c r="BK21" s="395"/>
      <c r="BL21" s="335"/>
      <c r="BM21" s="332"/>
      <c r="BN21" s="335"/>
      <c r="BO21" s="332"/>
      <c r="BP21" s="335"/>
      <c r="BQ21" s="395"/>
      <c r="BR21" s="335"/>
      <c r="BS21" s="332"/>
      <c r="BT21" s="335"/>
      <c r="BU21" s="332"/>
      <c r="BV21" s="335"/>
      <c r="BW21" s="395"/>
      <c r="BX21" s="335"/>
      <c r="BY21" s="395"/>
      <c r="BZ21" s="335"/>
      <c r="CA21" s="395"/>
      <c r="CB21" s="335"/>
      <c r="CC21" s="395"/>
      <c r="CD21" s="334"/>
      <c r="CE21" s="395"/>
      <c r="CF21" s="334"/>
      <c r="CG21" s="395"/>
      <c r="CH21" s="334"/>
      <c r="CI21" s="395"/>
      <c r="CJ21" s="334"/>
      <c r="CK21" s="395"/>
    </row>
    <row r="22" spans="1:121" s="337" customFormat="1" ht="15" customHeight="1" thickBot="1" x14ac:dyDescent="0.25">
      <c r="A22" s="336" t="s">
        <v>24</v>
      </c>
      <c r="B22" s="176">
        <f>SUM(B12:B21)</f>
        <v>106236</v>
      </c>
      <c r="C22" s="390">
        <f>SUM(C12:C21)</f>
        <v>100</v>
      </c>
      <c r="D22" s="176">
        <f>SUM(D12:D21)</f>
        <v>113424</v>
      </c>
      <c r="E22" s="390">
        <f>SUM(E12:E21)</f>
        <v>100</v>
      </c>
      <c r="F22" s="176">
        <f>SUM(F12:F21)</f>
        <v>121594</v>
      </c>
      <c r="G22" s="390">
        <f>SUM(G12:G21)-0.1</f>
        <v>99.999999999999986</v>
      </c>
      <c r="H22" s="176">
        <f>SUM(H12:H21)</f>
        <v>137112</v>
      </c>
      <c r="I22" s="390">
        <f>SUM(I12:I21)+0.1</f>
        <v>99.999999999999972</v>
      </c>
      <c r="J22" s="176">
        <f>SUM(J12:J21)</f>
        <v>144329</v>
      </c>
      <c r="K22" s="390">
        <f>SUM(K12:K21)+0.1</f>
        <v>100</v>
      </c>
      <c r="L22" s="176">
        <f>SUM(L12:L21)</f>
        <v>154018</v>
      </c>
      <c r="M22" s="390">
        <f>SUM(M12:M21)</f>
        <v>99.99</v>
      </c>
      <c r="N22" s="176">
        <f>SUM(N12:N21)</f>
        <v>166406</v>
      </c>
      <c r="O22" s="390">
        <f>SUM(O12:O21)</f>
        <v>100</v>
      </c>
      <c r="P22" s="176">
        <f>SUM(P12:P21)</f>
        <v>179955</v>
      </c>
      <c r="Q22" s="390">
        <f>SUM(Q12:Q21)+0.1</f>
        <v>99.999999999999986</v>
      </c>
      <c r="R22" s="176">
        <f t="shared" ref="R22:AW22" si="25">SUM(R12:R21)</f>
        <v>180048</v>
      </c>
      <c r="S22" s="390">
        <f t="shared" si="25"/>
        <v>100</v>
      </c>
      <c r="T22" s="176">
        <f t="shared" si="25"/>
        <v>179377</v>
      </c>
      <c r="U22" s="390">
        <f t="shared" si="25"/>
        <v>100</v>
      </c>
      <c r="V22" s="176">
        <f t="shared" si="25"/>
        <v>180969</v>
      </c>
      <c r="W22" s="390">
        <f t="shared" si="25"/>
        <v>100.00000000000001</v>
      </c>
      <c r="X22" s="176">
        <f t="shared" si="25"/>
        <v>190989</v>
      </c>
      <c r="Y22" s="390">
        <f t="shared" si="25"/>
        <v>100.00000000000001</v>
      </c>
      <c r="Z22" s="176">
        <f t="shared" si="25"/>
        <v>198107</v>
      </c>
      <c r="AA22" s="390">
        <f t="shared" si="25"/>
        <v>100.00000000000001</v>
      </c>
      <c r="AB22" s="176">
        <f t="shared" si="25"/>
        <v>208588</v>
      </c>
      <c r="AC22" s="390">
        <f t="shared" si="25"/>
        <v>100</v>
      </c>
      <c r="AD22" s="176">
        <f t="shared" si="25"/>
        <v>217274</v>
      </c>
      <c r="AE22" s="390">
        <f t="shared" si="25"/>
        <v>100</v>
      </c>
      <c r="AF22" s="176">
        <f t="shared" si="25"/>
        <v>230614</v>
      </c>
      <c r="AG22" s="390">
        <f t="shared" si="25"/>
        <v>99.999999999999972</v>
      </c>
      <c r="AH22" s="176">
        <f t="shared" si="25"/>
        <v>239912</v>
      </c>
      <c r="AI22" s="390">
        <f t="shared" si="25"/>
        <v>99.999999999999986</v>
      </c>
      <c r="AJ22" s="176">
        <f t="shared" si="25"/>
        <v>250834</v>
      </c>
      <c r="AK22" s="390">
        <f t="shared" si="25"/>
        <v>100</v>
      </c>
      <c r="AL22" s="176">
        <f t="shared" si="25"/>
        <v>260471</v>
      </c>
      <c r="AM22" s="390">
        <f t="shared" si="25"/>
        <v>100</v>
      </c>
      <c r="AN22" s="176">
        <f t="shared" si="25"/>
        <v>268668</v>
      </c>
      <c r="AO22" s="390">
        <f t="shared" si="25"/>
        <v>100</v>
      </c>
      <c r="AP22" s="176">
        <f t="shared" si="25"/>
        <v>269749</v>
      </c>
      <c r="AQ22" s="390">
        <f t="shared" si="25"/>
        <v>99.999999999999986</v>
      </c>
      <c r="AR22" s="176">
        <f t="shared" si="25"/>
        <v>279166</v>
      </c>
      <c r="AS22" s="390">
        <f t="shared" si="25"/>
        <v>100.00000000000001</v>
      </c>
      <c r="AT22" s="176">
        <f t="shared" si="25"/>
        <v>284367</v>
      </c>
      <c r="AU22" s="390">
        <f t="shared" si="25"/>
        <v>99.999999999999986</v>
      </c>
      <c r="AV22" s="176">
        <f t="shared" si="25"/>
        <v>290960</v>
      </c>
      <c r="AW22" s="390">
        <f t="shared" si="25"/>
        <v>100</v>
      </c>
      <c r="AX22" s="176">
        <f t="shared" ref="AX22:CC22" si="26">SUM(AX12:AX21)</f>
        <v>297883</v>
      </c>
      <c r="AY22" s="390">
        <f t="shared" si="26"/>
        <v>100</v>
      </c>
      <c r="AZ22" s="176">
        <f t="shared" si="26"/>
        <v>305574</v>
      </c>
      <c r="BA22" s="390">
        <f t="shared" si="26"/>
        <v>100</v>
      </c>
      <c r="BB22" s="176">
        <f t="shared" si="26"/>
        <v>311655</v>
      </c>
      <c r="BC22" s="390">
        <f t="shared" si="26"/>
        <v>100.00000000000001</v>
      </c>
      <c r="BD22" s="176">
        <f t="shared" si="26"/>
        <v>323061</v>
      </c>
      <c r="BE22" s="390">
        <f t="shared" si="26"/>
        <v>100</v>
      </c>
      <c r="BF22" s="176">
        <f t="shared" si="26"/>
        <v>328257</v>
      </c>
      <c r="BG22" s="390">
        <f t="shared" si="26"/>
        <v>100</v>
      </c>
      <c r="BH22" s="176">
        <f t="shared" si="26"/>
        <v>328668</v>
      </c>
      <c r="BI22" s="390">
        <f t="shared" si="26"/>
        <v>100.00000000000003</v>
      </c>
      <c r="BJ22" s="176">
        <f t="shared" si="26"/>
        <v>335904</v>
      </c>
      <c r="BK22" s="390">
        <f t="shared" si="26"/>
        <v>100.00000000000001</v>
      </c>
      <c r="BL22" s="176">
        <f t="shared" si="26"/>
        <v>346644</v>
      </c>
      <c r="BM22" s="390">
        <f t="shared" si="26"/>
        <v>100.00000000000001</v>
      </c>
      <c r="BN22" s="176">
        <f t="shared" si="26"/>
        <v>352424</v>
      </c>
      <c r="BO22" s="390">
        <f t="shared" si="26"/>
        <v>99.999999999999986</v>
      </c>
      <c r="BP22" s="176">
        <f t="shared" si="26"/>
        <v>355024</v>
      </c>
      <c r="BQ22" s="390">
        <f t="shared" si="26"/>
        <v>100</v>
      </c>
      <c r="BR22" s="176">
        <f t="shared" si="26"/>
        <v>366055</v>
      </c>
      <c r="BS22" s="390">
        <f t="shared" si="26"/>
        <v>100.00000000000001</v>
      </c>
      <c r="BT22" s="176">
        <f t="shared" si="26"/>
        <v>366995</v>
      </c>
      <c r="BU22" s="390">
        <f t="shared" si="26"/>
        <v>100</v>
      </c>
      <c r="BV22" s="176">
        <f t="shared" si="26"/>
        <v>353724</v>
      </c>
      <c r="BW22" s="390">
        <f t="shared" si="26"/>
        <v>100</v>
      </c>
      <c r="BX22" s="176">
        <f t="shared" si="26"/>
        <v>341821</v>
      </c>
      <c r="BY22" s="390">
        <f t="shared" si="26"/>
        <v>100</v>
      </c>
      <c r="BZ22" s="176">
        <f t="shared" si="26"/>
        <v>399409</v>
      </c>
      <c r="CA22" s="390">
        <f t="shared" si="26"/>
        <v>100</v>
      </c>
      <c r="CB22" s="176">
        <f t="shared" si="26"/>
        <v>392151</v>
      </c>
      <c r="CC22" s="390">
        <f t="shared" si="26"/>
        <v>99.999999999999986</v>
      </c>
      <c r="CD22" s="176">
        <f t="shared" ref="CD22:CE22" si="27">SUM(CD12:CD21)</f>
        <v>381950</v>
      </c>
      <c r="CE22" s="390">
        <f t="shared" si="27"/>
        <v>100</v>
      </c>
      <c r="CF22" s="176">
        <f t="shared" ref="CF22:CG22" si="28">SUM(CF12:CF21)</f>
        <v>375653</v>
      </c>
      <c r="CG22" s="390">
        <f t="shared" si="28"/>
        <v>100</v>
      </c>
      <c r="CH22" s="176">
        <f t="shared" ref="CH22:CI22" si="29">SUM(CH12:CH21)</f>
        <v>368899</v>
      </c>
      <c r="CI22" s="390">
        <f t="shared" si="29"/>
        <v>100.00000000000001</v>
      </c>
      <c r="CJ22" s="176">
        <f t="shared" ref="CJ22:CK22" si="30">SUM(CJ12:CJ21)</f>
        <v>370079.18399999995</v>
      </c>
      <c r="CK22" s="701">
        <f t="shared" si="30"/>
        <v>1</v>
      </c>
      <c r="CL22" s="193"/>
      <c r="CM22" s="193"/>
      <c r="CN22" s="193"/>
      <c r="CO22" s="193"/>
      <c r="CP22" s="193"/>
      <c r="CQ22" s="193"/>
      <c r="CR22" s="193"/>
      <c r="CS22" s="193"/>
      <c r="CT22" s="193"/>
      <c r="CU22" s="193"/>
      <c r="CV22" s="193"/>
      <c r="CW22" s="193"/>
      <c r="CX22" s="193"/>
      <c r="CY22" s="193"/>
      <c r="CZ22" s="193"/>
      <c r="DA22" s="193"/>
      <c r="DB22" s="193"/>
      <c r="DC22" s="193"/>
      <c r="DD22" s="193"/>
      <c r="DE22" s="193"/>
      <c r="DF22" s="193"/>
      <c r="DG22" s="193"/>
      <c r="DH22" s="193"/>
      <c r="DI22" s="193"/>
      <c r="DJ22" s="193"/>
      <c r="DK22" s="193"/>
      <c r="DL22" s="193"/>
      <c r="DM22" s="193"/>
      <c r="DN22" s="193"/>
      <c r="DO22" s="193"/>
      <c r="DP22" s="193"/>
      <c r="DQ22" s="193"/>
    </row>
    <row r="23" spans="1:121" ht="12.95" customHeight="1" thickTop="1" x14ac:dyDescent="0.2">
      <c r="A23" s="338"/>
      <c r="B23" s="338"/>
      <c r="C23" s="338"/>
      <c r="D23" s="338"/>
      <c r="E23" s="338"/>
      <c r="F23" s="338"/>
      <c r="G23" s="338"/>
      <c r="H23" s="338"/>
      <c r="I23" s="338"/>
      <c r="J23" s="338"/>
      <c r="K23" s="338"/>
      <c r="L23" s="338"/>
      <c r="M23" s="338"/>
      <c r="N23" s="338"/>
      <c r="O23" s="338"/>
      <c r="P23" s="338"/>
      <c r="Q23" s="338"/>
      <c r="R23" s="338"/>
      <c r="S23" s="338"/>
      <c r="T23" s="338"/>
      <c r="U23" s="338"/>
      <c r="V23" s="338"/>
      <c r="W23" s="338"/>
      <c r="X23" s="338"/>
      <c r="Y23" s="338"/>
      <c r="Z23" s="338"/>
      <c r="AA23" s="338"/>
      <c r="AB23" s="338"/>
      <c r="AC23" s="338"/>
      <c r="AD23" s="338"/>
      <c r="AE23" s="338"/>
      <c r="AF23" s="338"/>
      <c r="AG23" s="338"/>
      <c r="AH23" s="338"/>
      <c r="AI23" s="338"/>
      <c r="AJ23" s="338"/>
      <c r="AK23" s="338"/>
      <c r="AL23" s="338"/>
      <c r="AM23" s="338"/>
      <c r="AN23" s="338"/>
      <c r="AO23" s="338"/>
      <c r="AP23" s="338"/>
      <c r="AQ23" s="338"/>
      <c r="AR23" s="338"/>
      <c r="AS23" s="338"/>
      <c r="AT23" s="338"/>
      <c r="AU23" s="338"/>
      <c r="AV23" s="338"/>
      <c r="AW23" s="338"/>
      <c r="AX23" s="338"/>
      <c r="AY23" s="338"/>
      <c r="AZ23" s="338"/>
      <c r="BA23" s="338"/>
      <c r="BB23" s="338"/>
      <c r="BC23" s="338"/>
      <c r="BD23" s="338"/>
      <c r="BE23" s="338"/>
      <c r="BF23" s="338"/>
      <c r="BG23" s="338"/>
      <c r="BH23" s="338"/>
      <c r="BI23" s="338"/>
      <c r="BJ23" s="339"/>
      <c r="BK23" s="339"/>
      <c r="BL23" s="339"/>
      <c r="BM23" s="339"/>
      <c r="BN23" s="339"/>
      <c r="BO23" s="339"/>
      <c r="BP23" s="339"/>
      <c r="BQ23" s="339"/>
      <c r="BR23" s="339"/>
      <c r="BS23" s="339"/>
      <c r="BT23" s="339"/>
      <c r="BU23" s="339"/>
    </row>
    <row r="24" spans="1:121" s="314" customFormat="1" ht="11.25" x14ac:dyDescent="0.2">
      <c r="A24" s="310"/>
      <c r="B24" s="310"/>
      <c r="C24" s="310"/>
      <c r="D24" s="310"/>
      <c r="E24" s="310"/>
      <c r="F24" s="310"/>
      <c r="G24" s="310"/>
      <c r="H24" s="310"/>
      <c r="I24" s="310"/>
      <c r="J24" s="310"/>
      <c r="K24" s="310"/>
      <c r="L24" s="310"/>
      <c r="M24" s="310"/>
      <c r="N24" s="310"/>
      <c r="O24" s="310"/>
      <c r="P24" s="310"/>
      <c r="Q24" s="310"/>
      <c r="R24" s="310"/>
      <c r="S24" s="310"/>
      <c r="T24" s="310"/>
      <c r="U24" s="310"/>
      <c r="V24" s="310"/>
      <c r="W24" s="310"/>
      <c r="X24" s="310"/>
      <c r="Y24" s="310"/>
      <c r="Z24" s="310"/>
      <c r="AA24" s="310"/>
      <c r="AB24" s="310"/>
      <c r="AC24" s="310"/>
      <c r="AD24" s="310"/>
      <c r="AE24" s="310"/>
      <c r="AF24" s="310"/>
      <c r="AG24" s="310"/>
      <c r="AH24" s="310"/>
      <c r="AI24" s="310"/>
      <c r="AJ24" s="310"/>
      <c r="AK24" s="310"/>
      <c r="AL24" s="310"/>
      <c r="AM24" s="310"/>
      <c r="AN24" s="310"/>
      <c r="AO24" s="310"/>
      <c r="AP24" s="310"/>
      <c r="AQ24" s="310"/>
      <c r="AR24" s="310"/>
      <c r="AS24" s="310"/>
      <c r="AT24" s="310"/>
      <c r="AU24" s="310"/>
      <c r="AV24" s="310"/>
      <c r="AW24" s="310"/>
      <c r="AX24" s="310"/>
      <c r="AY24" s="310"/>
      <c r="AZ24" s="310"/>
      <c r="BA24" s="310"/>
      <c r="BB24" s="310"/>
      <c r="BC24" s="310"/>
      <c r="BD24" s="310"/>
      <c r="BE24" s="340"/>
      <c r="BF24" s="310"/>
      <c r="BG24" s="310"/>
      <c r="BH24" s="310"/>
      <c r="BI24" s="310"/>
      <c r="BJ24" s="310"/>
      <c r="BK24" s="310"/>
      <c r="BL24" s="310"/>
      <c r="BM24" s="310"/>
      <c r="BN24" s="310"/>
      <c r="BO24" s="310"/>
      <c r="BP24" s="310"/>
      <c r="BQ24" s="310"/>
      <c r="BR24" s="310"/>
      <c r="BS24" s="310"/>
      <c r="BT24" s="310"/>
      <c r="BU24" s="310"/>
    </row>
    <row r="25" spans="1:121" s="314" customFormat="1" ht="11.25" x14ac:dyDescent="0.2">
      <c r="A25" s="310"/>
      <c r="B25" s="310"/>
      <c r="C25" s="341"/>
      <c r="D25" s="310"/>
      <c r="E25" s="341"/>
      <c r="F25" s="310"/>
      <c r="G25" s="341"/>
      <c r="H25" s="310"/>
      <c r="I25" s="341"/>
      <c r="J25" s="310"/>
      <c r="K25" s="341"/>
      <c r="L25" s="310"/>
      <c r="M25" s="310"/>
      <c r="N25" s="310"/>
      <c r="O25" s="310"/>
      <c r="P25" s="310"/>
      <c r="Q25" s="310"/>
      <c r="R25" s="310"/>
      <c r="S25" s="310"/>
      <c r="T25" s="310"/>
      <c r="U25" s="310"/>
      <c r="V25" s="310"/>
      <c r="W25" s="310"/>
      <c r="X25" s="310"/>
      <c r="Y25" s="310"/>
      <c r="Z25" s="310"/>
      <c r="AA25" s="310"/>
      <c r="AB25" s="310"/>
      <c r="AC25" s="310"/>
      <c r="AD25" s="310"/>
      <c r="AE25" s="310"/>
      <c r="AF25" s="310"/>
      <c r="AG25" s="310"/>
      <c r="AH25" s="310"/>
      <c r="AI25" s="310"/>
      <c r="AJ25" s="310"/>
      <c r="AK25" s="310"/>
      <c r="AL25" s="310"/>
      <c r="AM25" s="310"/>
      <c r="AN25" s="310"/>
      <c r="AO25" s="310"/>
      <c r="AP25" s="310"/>
      <c r="AQ25" s="310"/>
      <c r="AR25" s="310"/>
      <c r="AS25" s="310"/>
      <c r="AT25" s="310"/>
      <c r="AU25" s="310"/>
      <c r="AV25" s="310"/>
      <c r="AW25" s="310"/>
      <c r="AX25" s="310"/>
      <c r="AY25" s="310"/>
      <c r="AZ25" s="310"/>
      <c r="BA25" s="310"/>
      <c r="BB25" s="310"/>
      <c r="BC25" s="310"/>
      <c r="BD25" s="310"/>
      <c r="BE25" s="310"/>
      <c r="BF25" s="310"/>
      <c r="BG25" s="310"/>
      <c r="BH25" s="310"/>
      <c r="BI25" s="310"/>
      <c r="BJ25" s="310"/>
      <c r="BK25" s="310"/>
      <c r="BL25" s="310"/>
      <c r="BM25" s="310"/>
      <c r="BN25" s="310"/>
      <c r="BO25" s="310"/>
      <c r="BP25" s="310"/>
      <c r="BQ25" s="310"/>
      <c r="BR25" s="310"/>
      <c r="BS25" s="310"/>
      <c r="BT25" s="310"/>
      <c r="BU25" s="310"/>
    </row>
    <row r="26" spans="1:121" s="314" customFormat="1" ht="11.25" x14ac:dyDescent="0.2">
      <c r="A26" s="310"/>
      <c r="B26" s="310"/>
      <c r="C26" s="341"/>
      <c r="D26" s="310"/>
      <c r="E26" s="341"/>
      <c r="F26" s="310"/>
      <c r="G26" s="341"/>
      <c r="H26" s="310"/>
      <c r="I26" s="341"/>
      <c r="J26" s="310"/>
      <c r="K26" s="341"/>
      <c r="L26" s="310"/>
      <c r="M26" s="310"/>
      <c r="N26" s="310"/>
      <c r="O26" s="310"/>
      <c r="P26" s="310"/>
      <c r="Q26" s="310"/>
      <c r="R26" s="310"/>
      <c r="S26" s="310"/>
      <c r="T26" s="310"/>
      <c r="U26" s="310"/>
      <c r="V26" s="310"/>
      <c r="W26" s="310"/>
      <c r="X26" s="310"/>
      <c r="Y26" s="310"/>
      <c r="Z26" s="310"/>
      <c r="AA26" s="310"/>
      <c r="AB26" s="310"/>
      <c r="AC26" s="310"/>
      <c r="AD26" s="310"/>
      <c r="AE26" s="310"/>
      <c r="AF26" s="310"/>
      <c r="AG26" s="310"/>
      <c r="AH26" s="310"/>
      <c r="AI26" s="310"/>
      <c r="AJ26" s="310"/>
      <c r="AK26" s="310"/>
      <c r="AL26" s="310"/>
      <c r="AM26" s="310"/>
      <c r="AN26" s="310"/>
      <c r="AO26" s="310"/>
      <c r="AP26" s="310"/>
      <c r="AQ26" s="310"/>
      <c r="AR26" s="310"/>
      <c r="AS26" s="310"/>
      <c r="AT26" s="310"/>
      <c r="AU26" s="310"/>
      <c r="AV26" s="310"/>
      <c r="AW26" s="310"/>
      <c r="AX26" s="310"/>
      <c r="AY26" s="310"/>
      <c r="AZ26" s="310"/>
      <c r="BA26" s="310"/>
      <c r="BB26" s="310"/>
      <c r="BC26" s="310"/>
      <c r="BD26" s="310"/>
      <c r="BE26" s="310"/>
      <c r="BF26" s="310"/>
      <c r="BG26" s="310"/>
      <c r="BH26" s="310"/>
      <c r="BI26" s="310"/>
      <c r="BJ26" s="310"/>
      <c r="BK26" s="310"/>
      <c r="BL26" s="310"/>
      <c r="BM26" s="310"/>
      <c r="BN26" s="310"/>
      <c r="BO26" s="310"/>
      <c r="BP26" s="310"/>
      <c r="BQ26" s="310"/>
      <c r="BR26" s="310"/>
      <c r="BS26" s="310"/>
      <c r="BT26" s="310"/>
      <c r="BU26" s="310"/>
    </row>
    <row r="27" spans="1:121" s="314" customFormat="1" ht="11.25" x14ac:dyDescent="0.2">
      <c r="A27" s="310"/>
      <c r="B27" s="310"/>
      <c r="C27" s="341"/>
      <c r="D27" s="310"/>
      <c r="E27" s="341"/>
      <c r="F27" s="310"/>
      <c r="G27" s="341"/>
      <c r="H27" s="310"/>
      <c r="I27" s="341"/>
      <c r="J27" s="310"/>
      <c r="K27" s="341"/>
      <c r="L27" s="310"/>
      <c r="M27" s="310"/>
      <c r="N27" s="310"/>
      <c r="O27" s="310"/>
      <c r="P27" s="310"/>
      <c r="Q27" s="310"/>
      <c r="R27" s="310"/>
      <c r="S27" s="310"/>
      <c r="T27" s="310"/>
      <c r="U27" s="310"/>
      <c r="V27" s="310"/>
      <c r="W27" s="310"/>
      <c r="X27" s="310"/>
      <c r="Y27" s="310"/>
      <c r="Z27" s="310"/>
      <c r="AA27" s="310"/>
      <c r="AB27" s="310"/>
      <c r="AC27" s="310"/>
      <c r="AD27" s="310"/>
      <c r="AE27" s="310"/>
      <c r="AF27" s="310"/>
      <c r="AG27" s="310"/>
      <c r="AH27" s="310"/>
      <c r="AI27" s="310"/>
      <c r="AJ27" s="310"/>
      <c r="AK27" s="310"/>
      <c r="AL27" s="310"/>
      <c r="AM27" s="310"/>
      <c r="AN27" s="310"/>
      <c r="AO27" s="310"/>
      <c r="AP27" s="310"/>
      <c r="AQ27" s="310"/>
      <c r="AR27" s="310"/>
      <c r="AS27" s="310"/>
      <c r="AT27" s="310"/>
      <c r="AU27" s="310"/>
      <c r="AV27" s="310"/>
      <c r="AW27" s="310"/>
      <c r="AX27" s="310"/>
      <c r="AY27" s="310"/>
      <c r="AZ27" s="310"/>
      <c r="BA27" s="310"/>
      <c r="BB27" s="310"/>
      <c r="BC27" s="310"/>
      <c r="BD27" s="310"/>
      <c r="BE27" s="310"/>
      <c r="BF27" s="310"/>
      <c r="BG27" s="310"/>
      <c r="BH27" s="310"/>
      <c r="BI27" s="310"/>
      <c r="BJ27" s="310"/>
      <c r="BK27" s="310"/>
      <c r="BL27" s="310"/>
      <c r="BM27" s="310"/>
      <c r="BN27" s="310"/>
      <c r="BO27" s="310"/>
      <c r="BP27" s="310"/>
      <c r="BQ27" s="310"/>
      <c r="BR27" s="310"/>
      <c r="BS27" s="310"/>
      <c r="BT27" s="310"/>
      <c r="BU27" s="310"/>
    </row>
    <row r="28" spans="1:121" s="314" customFormat="1" x14ac:dyDescent="0.2">
      <c r="A28" s="310"/>
      <c r="B28" s="310"/>
      <c r="C28" s="341"/>
      <c r="D28" s="310"/>
      <c r="E28" s="341"/>
      <c r="F28" s="310"/>
      <c r="G28" s="341"/>
      <c r="H28" s="310"/>
      <c r="I28" s="341"/>
      <c r="J28" s="310"/>
      <c r="K28" s="341"/>
      <c r="L28" s="310"/>
      <c r="M28" s="310"/>
      <c r="N28" s="310"/>
      <c r="O28" s="310"/>
      <c r="P28" s="310"/>
      <c r="Q28" s="310"/>
      <c r="R28" s="310"/>
      <c r="S28" s="310"/>
      <c r="T28" s="310"/>
      <c r="U28" s="310"/>
      <c r="V28" s="310"/>
      <c r="W28" s="310"/>
      <c r="X28" s="310"/>
      <c r="Y28" s="310"/>
      <c r="Z28" s="310"/>
      <c r="AA28" s="310"/>
      <c r="AB28" s="310"/>
      <c r="AC28" s="310"/>
      <c r="AD28" s="310"/>
      <c r="AE28" s="310"/>
      <c r="AF28" s="310"/>
      <c r="AG28" s="310"/>
      <c r="AH28" s="310"/>
      <c r="AI28" s="310"/>
      <c r="AJ28" s="310"/>
      <c r="AK28" s="310"/>
      <c r="AL28" s="310"/>
      <c r="AM28" s="310"/>
      <c r="AN28" s="310"/>
      <c r="AO28" s="310"/>
      <c r="AP28" s="310"/>
      <c r="AQ28" s="310"/>
      <c r="AR28" s="310"/>
      <c r="AS28" s="310"/>
      <c r="AT28" s="310"/>
      <c r="AU28" s="310"/>
      <c r="AV28" s="310"/>
      <c r="AW28" s="310"/>
      <c r="AX28" s="310"/>
      <c r="AY28" s="310"/>
      <c r="AZ28" s="310"/>
      <c r="BA28" s="310"/>
      <c r="BB28" s="310"/>
      <c r="BC28" s="310"/>
      <c r="BD28" s="310"/>
      <c r="BE28" s="310"/>
      <c r="BF28" s="310"/>
      <c r="BG28" s="310"/>
      <c r="BH28" s="310"/>
      <c r="BI28" s="310"/>
      <c r="BJ28" s="342"/>
      <c r="BK28" s="342"/>
      <c r="BL28" s="342"/>
      <c r="BM28" s="342"/>
      <c r="BN28" s="342"/>
      <c r="BO28" s="342"/>
      <c r="BP28" s="342"/>
      <c r="BQ28" s="342"/>
      <c r="BR28" s="342"/>
      <c r="BS28" s="342"/>
      <c r="BT28" s="342"/>
      <c r="BU28" s="342"/>
      <c r="BV28" s="308"/>
      <c r="BX28" s="308"/>
    </row>
    <row r="29" spans="1:121" s="314" customFormat="1" x14ac:dyDescent="0.2">
      <c r="A29" s="310"/>
      <c r="B29" s="310"/>
      <c r="C29" s="341"/>
      <c r="D29" s="310"/>
      <c r="E29" s="341"/>
      <c r="F29" s="310"/>
      <c r="G29" s="341"/>
      <c r="H29" s="310"/>
      <c r="I29" s="341"/>
      <c r="J29" s="310"/>
      <c r="K29" s="341"/>
      <c r="L29" s="310"/>
      <c r="M29" s="310"/>
      <c r="N29" s="310"/>
      <c r="O29" s="310"/>
      <c r="P29" s="310"/>
      <c r="Q29" s="310"/>
      <c r="R29" s="310"/>
      <c r="S29" s="310"/>
      <c r="T29" s="310"/>
      <c r="U29" s="310"/>
      <c r="V29" s="310"/>
      <c r="W29" s="310"/>
      <c r="X29" s="310"/>
      <c r="Y29" s="310"/>
      <c r="Z29" s="310"/>
      <c r="AA29" s="310"/>
      <c r="AB29" s="310"/>
      <c r="AC29" s="310"/>
      <c r="AD29" s="310"/>
      <c r="AE29" s="310"/>
      <c r="AF29" s="310"/>
      <c r="AG29" s="310"/>
      <c r="AH29" s="310"/>
      <c r="AI29" s="310"/>
      <c r="AJ29" s="310"/>
      <c r="AK29" s="310"/>
      <c r="AL29" s="310"/>
      <c r="AM29" s="310"/>
      <c r="AN29" s="310"/>
      <c r="AO29" s="310"/>
      <c r="AP29" s="310"/>
      <c r="AQ29" s="310"/>
      <c r="AR29" s="310"/>
      <c r="AS29" s="310"/>
      <c r="AT29" s="310"/>
      <c r="AU29" s="310"/>
      <c r="AV29" s="310"/>
      <c r="AW29" s="310"/>
      <c r="AX29" s="310"/>
      <c r="AY29" s="310"/>
      <c r="AZ29" s="310"/>
      <c r="BA29" s="310"/>
      <c r="BB29" s="310"/>
      <c r="BC29" s="310"/>
      <c r="BD29" s="310"/>
      <c r="BE29" s="310"/>
      <c r="BF29" s="310"/>
      <c r="BG29" s="310"/>
      <c r="BH29" s="310"/>
      <c r="BI29" s="310"/>
      <c r="BJ29" s="342"/>
      <c r="BK29" s="342"/>
      <c r="BL29" s="342"/>
      <c r="BM29" s="342"/>
      <c r="BN29" s="342"/>
      <c r="BO29" s="342"/>
      <c r="BP29" s="342"/>
      <c r="BQ29" s="342"/>
      <c r="BR29" s="342"/>
      <c r="BS29" s="342"/>
      <c r="BT29" s="342"/>
      <c r="BU29" s="342"/>
      <c r="BV29" s="308"/>
      <c r="BX29" s="308"/>
    </row>
    <row r="30" spans="1:121" s="314" customFormat="1" ht="11.25" x14ac:dyDescent="0.2">
      <c r="A30" s="310"/>
      <c r="B30" s="310"/>
      <c r="C30" s="341"/>
      <c r="D30" s="310"/>
      <c r="E30" s="341"/>
      <c r="F30" s="310"/>
      <c r="G30" s="341"/>
      <c r="H30" s="310"/>
      <c r="I30" s="341"/>
      <c r="J30" s="310"/>
      <c r="K30" s="341"/>
      <c r="L30" s="310"/>
      <c r="M30" s="310"/>
      <c r="N30" s="310"/>
      <c r="O30" s="310"/>
      <c r="P30" s="310"/>
      <c r="Q30" s="310"/>
      <c r="R30" s="310"/>
      <c r="S30" s="310"/>
      <c r="T30" s="310"/>
      <c r="U30" s="310"/>
      <c r="V30" s="310"/>
      <c r="W30" s="310"/>
      <c r="X30" s="310"/>
      <c r="Y30" s="310"/>
      <c r="Z30" s="310"/>
      <c r="AA30" s="310"/>
      <c r="AB30" s="310"/>
      <c r="AC30" s="310"/>
      <c r="AD30" s="310"/>
      <c r="AE30" s="310"/>
      <c r="AF30" s="310"/>
      <c r="AG30" s="310"/>
      <c r="AH30" s="310"/>
      <c r="AI30" s="310"/>
      <c r="AJ30" s="310"/>
      <c r="AK30" s="310"/>
      <c r="AL30" s="310"/>
      <c r="AM30" s="310"/>
      <c r="AN30" s="310"/>
      <c r="AO30" s="310"/>
      <c r="AP30" s="310"/>
      <c r="AQ30" s="310"/>
      <c r="AR30" s="310"/>
      <c r="AS30" s="310"/>
      <c r="AT30" s="310"/>
      <c r="AU30" s="310"/>
      <c r="AV30" s="310"/>
      <c r="AW30" s="310"/>
      <c r="AX30" s="310"/>
      <c r="AY30" s="310"/>
      <c r="AZ30" s="310"/>
      <c r="BA30" s="310"/>
      <c r="BB30" s="310"/>
      <c r="BC30" s="310"/>
      <c r="BD30" s="310"/>
      <c r="BE30" s="310"/>
      <c r="BF30" s="310"/>
      <c r="BG30" s="310"/>
      <c r="BH30" s="310"/>
      <c r="BI30" s="310"/>
      <c r="BJ30" s="310"/>
      <c r="BK30" s="310"/>
      <c r="BL30" s="310"/>
      <c r="BM30" s="310"/>
      <c r="BN30" s="310"/>
      <c r="BO30" s="310"/>
      <c r="BP30" s="310"/>
      <c r="BQ30" s="310"/>
      <c r="BR30" s="310"/>
      <c r="BS30" s="310"/>
      <c r="BT30" s="310"/>
      <c r="BU30" s="310"/>
    </row>
    <row r="31" spans="1:121" s="314" customFormat="1" ht="11.25" x14ac:dyDescent="0.2">
      <c r="A31" s="310"/>
      <c r="B31" s="310"/>
      <c r="C31" s="341"/>
      <c r="D31" s="310"/>
      <c r="E31" s="341"/>
      <c r="F31" s="310"/>
      <c r="G31" s="341"/>
      <c r="H31" s="310"/>
      <c r="I31" s="341"/>
      <c r="J31" s="310"/>
      <c r="K31" s="341"/>
      <c r="L31" s="310"/>
      <c r="M31" s="310"/>
      <c r="N31" s="310"/>
      <c r="O31" s="310"/>
      <c r="P31" s="310"/>
      <c r="Q31" s="310"/>
      <c r="R31" s="310"/>
      <c r="S31" s="310"/>
      <c r="T31" s="310"/>
      <c r="U31" s="310"/>
      <c r="V31" s="310"/>
      <c r="W31" s="310"/>
      <c r="X31" s="310"/>
      <c r="Y31" s="310"/>
      <c r="Z31" s="310"/>
      <c r="AA31" s="310"/>
      <c r="AB31" s="310"/>
      <c r="AC31" s="310"/>
      <c r="AD31" s="310"/>
      <c r="AE31" s="310"/>
      <c r="AF31" s="310"/>
      <c r="AG31" s="310"/>
      <c r="AH31" s="310"/>
      <c r="AI31" s="310"/>
      <c r="AJ31" s="310"/>
      <c r="AK31" s="310"/>
      <c r="AL31" s="310"/>
      <c r="AM31" s="310"/>
      <c r="AN31" s="310"/>
      <c r="AO31" s="310"/>
      <c r="AP31" s="310"/>
      <c r="AQ31" s="310"/>
      <c r="AR31" s="310"/>
      <c r="AS31" s="310"/>
      <c r="AT31" s="310"/>
      <c r="AU31" s="310"/>
      <c r="AV31" s="310"/>
      <c r="AW31" s="310"/>
      <c r="AX31" s="310"/>
      <c r="AY31" s="310"/>
      <c r="AZ31" s="310"/>
      <c r="BA31" s="310"/>
      <c r="BB31" s="310"/>
      <c r="BC31" s="310"/>
      <c r="BD31" s="310"/>
      <c r="BE31" s="310"/>
      <c r="BF31" s="310"/>
      <c r="BG31" s="310"/>
      <c r="BH31" s="310"/>
      <c r="BI31" s="310"/>
      <c r="BJ31" s="310"/>
      <c r="BK31" s="310"/>
      <c r="BL31" s="310"/>
      <c r="BM31" s="310"/>
      <c r="BN31" s="310"/>
      <c r="BO31" s="310"/>
      <c r="BP31" s="310"/>
      <c r="BQ31" s="310"/>
      <c r="BR31" s="310"/>
      <c r="BS31" s="310"/>
      <c r="BT31" s="310"/>
      <c r="BU31" s="310"/>
    </row>
    <row r="32" spans="1:121" s="314" customFormat="1" ht="11.25" x14ac:dyDescent="0.2">
      <c r="A32" s="310"/>
      <c r="B32" s="310"/>
      <c r="C32" s="341"/>
      <c r="D32" s="310"/>
      <c r="E32" s="341"/>
      <c r="F32" s="310"/>
      <c r="G32" s="341"/>
      <c r="H32" s="310"/>
      <c r="I32" s="341"/>
      <c r="J32" s="310"/>
      <c r="K32" s="341"/>
      <c r="L32" s="310"/>
      <c r="M32" s="310"/>
      <c r="N32" s="310"/>
      <c r="O32" s="310"/>
      <c r="P32" s="310"/>
      <c r="Q32" s="310"/>
      <c r="R32" s="310"/>
      <c r="S32" s="310"/>
      <c r="T32" s="310"/>
      <c r="U32" s="310"/>
      <c r="V32" s="310"/>
      <c r="W32" s="310"/>
      <c r="X32" s="310"/>
      <c r="Y32" s="310"/>
      <c r="Z32" s="310"/>
      <c r="AA32" s="310"/>
      <c r="AB32" s="310"/>
      <c r="AC32" s="310"/>
      <c r="AD32" s="310"/>
      <c r="AE32" s="310"/>
      <c r="AF32" s="310"/>
      <c r="AG32" s="310"/>
      <c r="AH32" s="310"/>
      <c r="AI32" s="310"/>
      <c r="AJ32" s="310"/>
      <c r="AK32" s="310"/>
      <c r="AL32" s="310"/>
      <c r="AM32" s="310"/>
      <c r="AN32" s="310"/>
      <c r="AO32" s="310"/>
      <c r="AP32" s="310"/>
      <c r="AQ32" s="310"/>
      <c r="AR32" s="310"/>
      <c r="AS32" s="310"/>
      <c r="AT32" s="310"/>
      <c r="AU32" s="310"/>
      <c r="AV32" s="310"/>
      <c r="AW32" s="310"/>
      <c r="AX32" s="310"/>
      <c r="AY32" s="310"/>
      <c r="AZ32" s="310"/>
      <c r="BA32" s="310"/>
      <c r="BB32" s="310"/>
      <c r="BC32" s="310"/>
      <c r="BD32" s="310"/>
      <c r="BE32" s="310"/>
      <c r="BF32" s="310"/>
      <c r="BG32" s="310"/>
      <c r="BH32" s="310"/>
      <c r="BI32" s="310"/>
      <c r="BJ32" s="310"/>
      <c r="BK32" s="310"/>
      <c r="BL32" s="310"/>
      <c r="BM32" s="310"/>
      <c r="BN32" s="310"/>
      <c r="BO32" s="310"/>
      <c r="BP32" s="310"/>
      <c r="BQ32" s="310"/>
      <c r="BR32" s="310"/>
      <c r="BS32" s="310"/>
      <c r="BT32" s="310"/>
      <c r="BU32" s="310"/>
    </row>
    <row r="33" spans="1:73" s="314" customFormat="1" ht="11.25" x14ac:dyDescent="0.2">
      <c r="A33" s="310"/>
      <c r="B33" s="310"/>
      <c r="C33" s="310"/>
      <c r="D33" s="310"/>
      <c r="E33" s="310"/>
      <c r="F33" s="310"/>
      <c r="G33" s="310"/>
      <c r="H33" s="310"/>
      <c r="I33" s="310"/>
      <c r="J33" s="310"/>
      <c r="K33" s="310"/>
      <c r="L33" s="310"/>
      <c r="M33" s="310"/>
      <c r="N33" s="310"/>
      <c r="O33" s="310"/>
      <c r="P33" s="310"/>
      <c r="Q33" s="310"/>
      <c r="R33" s="310"/>
      <c r="S33" s="310"/>
      <c r="T33" s="310"/>
      <c r="U33" s="310"/>
      <c r="V33" s="310"/>
      <c r="W33" s="310"/>
      <c r="X33" s="310"/>
      <c r="Y33" s="310"/>
      <c r="Z33" s="310"/>
      <c r="AA33" s="310"/>
      <c r="AB33" s="310"/>
      <c r="AC33" s="310"/>
      <c r="AD33" s="310"/>
      <c r="AE33" s="310"/>
      <c r="AF33" s="310"/>
      <c r="AG33" s="310"/>
      <c r="AH33" s="310"/>
      <c r="AI33" s="310"/>
      <c r="AJ33" s="310"/>
      <c r="AK33" s="310"/>
      <c r="AL33" s="310"/>
      <c r="AM33" s="310"/>
      <c r="AN33" s="310"/>
      <c r="AO33" s="310"/>
      <c r="AP33" s="310"/>
      <c r="AQ33" s="310"/>
      <c r="AR33" s="310"/>
      <c r="AS33" s="310"/>
      <c r="AT33" s="310"/>
      <c r="AU33" s="310"/>
      <c r="AV33" s="310"/>
      <c r="AW33" s="310"/>
      <c r="AX33" s="310"/>
      <c r="AY33" s="310"/>
      <c r="AZ33" s="310"/>
      <c r="BA33" s="310"/>
      <c r="BB33" s="310"/>
      <c r="BC33" s="310"/>
      <c r="BD33" s="310"/>
      <c r="BE33" s="310"/>
      <c r="BF33" s="310"/>
      <c r="BG33" s="310"/>
      <c r="BH33" s="310"/>
      <c r="BI33" s="310"/>
      <c r="BJ33" s="310"/>
      <c r="BK33" s="310"/>
      <c r="BL33" s="310"/>
      <c r="BM33" s="310"/>
      <c r="BN33" s="310"/>
      <c r="BO33" s="310"/>
      <c r="BP33" s="310"/>
      <c r="BQ33" s="310"/>
      <c r="BR33" s="310"/>
      <c r="BS33" s="310"/>
      <c r="BT33" s="310"/>
      <c r="BU33" s="310"/>
    </row>
    <row r="34" spans="1:73" s="314" customFormat="1" ht="11.25" x14ac:dyDescent="0.2">
      <c r="A34" s="310"/>
      <c r="B34" s="310"/>
      <c r="C34" s="310"/>
      <c r="D34" s="310"/>
      <c r="E34" s="310"/>
      <c r="F34" s="310"/>
      <c r="G34" s="310"/>
      <c r="H34" s="310"/>
      <c r="I34" s="310"/>
      <c r="J34" s="310"/>
      <c r="K34" s="310"/>
      <c r="L34" s="310"/>
      <c r="M34" s="310"/>
      <c r="N34" s="310"/>
      <c r="O34" s="310"/>
      <c r="P34" s="310"/>
      <c r="Q34" s="310"/>
      <c r="R34" s="310"/>
      <c r="S34" s="310"/>
      <c r="T34" s="310"/>
      <c r="U34" s="310"/>
      <c r="V34" s="310"/>
      <c r="W34" s="310"/>
      <c r="X34" s="310"/>
      <c r="Y34" s="310"/>
      <c r="Z34" s="310"/>
      <c r="AA34" s="310"/>
      <c r="AB34" s="310"/>
      <c r="AC34" s="310"/>
      <c r="AD34" s="310"/>
      <c r="AE34" s="310"/>
      <c r="AF34" s="310"/>
      <c r="AG34" s="310"/>
      <c r="AH34" s="310"/>
      <c r="AI34" s="310"/>
      <c r="AJ34" s="310"/>
      <c r="AK34" s="310"/>
      <c r="AL34" s="310"/>
      <c r="AM34" s="310"/>
      <c r="AN34" s="310"/>
      <c r="AO34" s="310"/>
      <c r="AP34" s="310"/>
      <c r="AQ34" s="310"/>
      <c r="AR34" s="310"/>
      <c r="AS34" s="310"/>
      <c r="AT34" s="310"/>
      <c r="AU34" s="310"/>
      <c r="AV34" s="310"/>
      <c r="AW34" s="310"/>
      <c r="AX34" s="310"/>
      <c r="AY34" s="310"/>
      <c r="AZ34" s="310"/>
      <c r="BA34" s="310"/>
      <c r="BB34" s="310"/>
      <c r="BC34" s="310"/>
      <c r="BD34" s="310"/>
      <c r="BE34" s="310"/>
      <c r="BF34" s="310"/>
      <c r="BG34" s="310"/>
      <c r="BH34" s="310"/>
      <c r="BI34" s="310"/>
      <c r="BJ34" s="310"/>
      <c r="BK34" s="310"/>
      <c r="BL34" s="310"/>
      <c r="BM34" s="310"/>
      <c r="BN34" s="310"/>
      <c r="BO34" s="310"/>
      <c r="BP34" s="310"/>
      <c r="BQ34" s="310"/>
      <c r="BR34" s="310"/>
      <c r="BS34" s="310"/>
      <c r="BT34" s="310"/>
      <c r="BU34" s="310"/>
    </row>
    <row r="35" spans="1:73" s="314" customFormat="1" ht="11.25" x14ac:dyDescent="0.2">
      <c r="A35" s="310"/>
      <c r="B35" s="310"/>
      <c r="C35" s="310"/>
      <c r="D35" s="310"/>
      <c r="E35" s="310"/>
      <c r="F35" s="310"/>
      <c r="G35" s="310"/>
      <c r="H35" s="310"/>
      <c r="I35" s="310"/>
      <c r="J35" s="310"/>
      <c r="K35" s="310"/>
      <c r="L35" s="310"/>
      <c r="M35" s="310"/>
      <c r="N35" s="310"/>
      <c r="O35" s="310"/>
      <c r="P35" s="310"/>
      <c r="Q35" s="310"/>
      <c r="R35" s="310"/>
      <c r="S35" s="310"/>
      <c r="T35" s="310"/>
      <c r="U35" s="310"/>
      <c r="V35" s="310"/>
      <c r="W35" s="310"/>
      <c r="X35" s="310"/>
      <c r="Y35" s="310"/>
      <c r="Z35" s="310"/>
      <c r="AA35" s="310"/>
      <c r="AB35" s="310"/>
      <c r="AC35" s="310"/>
      <c r="AD35" s="310"/>
      <c r="AE35" s="310"/>
      <c r="AF35" s="310"/>
      <c r="AG35" s="310"/>
      <c r="AH35" s="310"/>
      <c r="AI35" s="310"/>
      <c r="AJ35" s="310"/>
      <c r="AK35" s="310"/>
      <c r="AL35" s="310"/>
      <c r="AM35" s="310"/>
      <c r="AN35" s="310"/>
      <c r="AO35" s="310"/>
      <c r="AP35" s="310"/>
      <c r="AQ35" s="310"/>
      <c r="AR35" s="310"/>
      <c r="AS35" s="310"/>
      <c r="AT35" s="310"/>
      <c r="AU35" s="310"/>
      <c r="AV35" s="310"/>
      <c r="AW35" s="310"/>
      <c r="AX35" s="310"/>
      <c r="AY35" s="310"/>
      <c r="AZ35" s="310"/>
      <c r="BA35" s="310"/>
      <c r="BB35" s="310"/>
      <c r="BC35" s="310"/>
      <c r="BD35" s="310"/>
      <c r="BE35" s="310"/>
      <c r="BF35" s="310"/>
      <c r="BG35" s="310"/>
      <c r="BH35" s="310"/>
      <c r="BI35" s="310"/>
      <c r="BJ35" s="310"/>
      <c r="BK35" s="310"/>
      <c r="BL35" s="310"/>
      <c r="BM35" s="310"/>
      <c r="BN35" s="310"/>
      <c r="BO35" s="310"/>
      <c r="BP35" s="310"/>
      <c r="BQ35" s="310"/>
      <c r="BR35" s="310"/>
      <c r="BS35" s="310"/>
      <c r="BT35" s="310"/>
      <c r="BU35" s="310"/>
    </row>
    <row r="36" spans="1:73" s="314" customFormat="1" ht="11.25" x14ac:dyDescent="0.2">
      <c r="A36" s="310"/>
      <c r="B36" s="310"/>
      <c r="C36" s="310"/>
      <c r="D36" s="310"/>
      <c r="E36" s="310"/>
      <c r="F36" s="310"/>
      <c r="G36" s="310"/>
      <c r="H36" s="310"/>
      <c r="I36" s="310"/>
      <c r="J36" s="310"/>
      <c r="K36" s="310"/>
      <c r="L36" s="310"/>
      <c r="M36" s="310"/>
      <c r="N36" s="310"/>
      <c r="O36" s="310"/>
      <c r="P36" s="310"/>
      <c r="Q36" s="310"/>
      <c r="R36" s="310"/>
      <c r="S36" s="310"/>
      <c r="T36" s="310"/>
      <c r="U36" s="310"/>
      <c r="V36" s="310"/>
      <c r="W36" s="310"/>
      <c r="X36" s="310"/>
      <c r="Y36" s="310"/>
      <c r="Z36" s="310"/>
      <c r="AA36" s="310"/>
      <c r="AB36" s="310"/>
      <c r="AC36" s="310"/>
      <c r="AD36" s="310"/>
      <c r="AE36" s="310"/>
      <c r="AF36" s="310"/>
      <c r="AG36" s="310"/>
      <c r="AH36" s="310"/>
      <c r="AI36" s="310"/>
      <c r="AJ36" s="310"/>
      <c r="AK36" s="310"/>
      <c r="AL36" s="310"/>
      <c r="AM36" s="310"/>
      <c r="AN36" s="310"/>
      <c r="AO36" s="310"/>
      <c r="AP36" s="310"/>
      <c r="AQ36" s="310"/>
      <c r="AR36" s="310"/>
      <c r="AS36" s="310"/>
      <c r="AT36" s="310"/>
      <c r="AU36" s="310"/>
      <c r="AV36" s="310"/>
      <c r="AW36" s="310"/>
      <c r="AX36" s="310"/>
      <c r="AY36" s="310"/>
      <c r="AZ36" s="310"/>
      <c r="BA36" s="310"/>
      <c r="BB36" s="310"/>
      <c r="BC36" s="310"/>
      <c r="BD36" s="310"/>
      <c r="BE36" s="310"/>
      <c r="BF36" s="310"/>
      <c r="BG36" s="310"/>
      <c r="BH36" s="310"/>
      <c r="BI36" s="310"/>
      <c r="BJ36" s="310"/>
      <c r="BK36" s="310"/>
      <c r="BL36" s="310"/>
      <c r="BM36" s="310"/>
      <c r="BN36" s="310"/>
      <c r="BO36" s="310"/>
      <c r="BP36" s="310"/>
      <c r="BQ36" s="310"/>
      <c r="BR36" s="310"/>
      <c r="BS36" s="310"/>
      <c r="BT36" s="310"/>
      <c r="BU36" s="310"/>
    </row>
    <row r="37" spans="1:73" s="314" customFormat="1" ht="11.25" x14ac:dyDescent="0.2">
      <c r="A37" s="310"/>
      <c r="B37" s="310"/>
      <c r="C37" s="310"/>
      <c r="D37" s="310"/>
      <c r="E37" s="310"/>
      <c r="F37" s="310"/>
      <c r="G37" s="310"/>
      <c r="H37" s="310"/>
      <c r="I37" s="310"/>
      <c r="J37" s="310"/>
      <c r="K37" s="310"/>
      <c r="L37" s="310"/>
      <c r="M37" s="310"/>
      <c r="N37" s="310"/>
      <c r="O37" s="310"/>
      <c r="P37" s="310"/>
      <c r="Q37" s="310"/>
      <c r="R37" s="310"/>
      <c r="S37" s="310"/>
      <c r="T37" s="310"/>
      <c r="U37" s="310"/>
      <c r="V37" s="310"/>
      <c r="W37" s="310"/>
      <c r="X37" s="310"/>
      <c r="Y37" s="310"/>
      <c r="Z37" s="310"/>
      <c r="AA37" s="310"/>
      <c r="AB37" s="310"/>
      <c r="AC37" s="310"/>
      <c r="AD37" s="310"/>
      <c r="AE37" s="310"/>
      <c r="AF37" s="310"/>
      <c r="AG37" s="310"/>
      <c r="AH37" s="310"/>
      <c r="AI37" s="310"/>
      <c r="AJ37" s="310"/>
      <c r="AK37" s="310"/>
      <c r="AL37" s="310"/>
      <c r="AM37" s="310"/>
      <c r="AN37" s="310"/>
      <c r="AO37" s="310"/>
      <c r="AP37" s="310"/>
      <c r="AQ37" s="310"/>
      <c r="AR37" s="310"/>
      <c r="AS37" s="310"/>
      <c r="AT37" s="310"/>
      <c r="AU37" s="310"/>
      <c r="AV37" s="310"/>
      <c r="AW37" s="310"/>
      <c r="AX37" s="310"/>
      <c r="AY37" s="310"/>
      <c r="AZ37" s="310"/>
      <c r="BA37" s="310"/>
      <c r="BB37" s="310"/>
      <c r="BC37" s="310"/>
      <c r="BD37" s="310"/>
      <c r="BE37" s="310"/>
      <c r="BF37" s="310"/>
      <c r="BG37" s="310"/>
      <c r="BH37" s="310"/>
      <c r="BI37" s="310"/>
      <c r="BJ37" s="310"/>
      <c r="BK37" s="310"/>
      <c r="BL37" s="310"/>
      <c r="BM37" s="310"/>
      <c r="BN37" s="310"/>
      <c r="BO37" s="310"/>
      <c r="BP37" s="310"/>
      <c r="BQ37" s="310"/>
      <c r="BR37" s="310"/>
      <c r="BS37" s="310"/>
      <c r="BT37" s="310"/>
      <c r="BU37" s="310"/>
    </row>
    <row r="38" spans="1:73" s="314" customFormat="1" ht="11.25" x14ac:dyDescent="0.2">
      <c r="A38" s="310"/>
      <c r="B38" s="310"/>
      <c r="C38" s="310"/>
      <c r="D38" s="310"/>
      <c r="E38" s="310"/>
      <c r="F38" s="310"/>
      <c r="G38" s="310"/>
      <c r="H38" s="310"/>
      <c r="I38" s="310"/>
      <c r="J38" s="310"/>
      <c r="K38" s="310"/>
      <c r="L38" s="310"/>
      <c r="M38" s="310"/>
      <c r="N38" s="310"/>
      <c r="O38" s="310"/>
      <c r="P38" s="310"/>
      <c r="Q38" s="310"/>
      <c r="R38" s="310"/>
      <c r="S38" s="310"/>
      <c r="T38" s="310"/>
      <c r="U38" s="310"/>
      <c r="V38" s="310"/>
      <c r="W38" s="310"/>
      <c r="X38" s="310"/>
      <c r="Y38" s="310"/>
      <c r="Z38" s="310"/>
      <c r="AA38" s="310"/>
      <c r="AB38" s="310"/>
      <c r="AC38" s="310"/>
      <c r="AD38" s="310"/>
      <c r="AE38" s="310"/>
      <c r="AF38" s="310"/>
      <c r="AG38" s="310"/>
      <c r="AH38" s="310"/>
      <c r="AI38" s="310"/>
      <c r="AJ38" s="310"/>
      <c r="AK38" s="310"/>
      <c r="AL38" s="310"/>
      <c r="AM38" s="310"/>
      <c r="AN38" s="310"/>
      <c r="AO38" s="310"/>
      <c r="AP38" s="310"/>
      <c r="AQ38" s="310"/>
      <c r="AR38" s="310"/>
      <c r="AS38" s="310"/>
      <c r="AT38" s="310"/>
      <c r="AU38" s="310"/>
      <c r="AV38" s="310"/>
      <c r="AW38" s="310"/>
      <c r="AX38" s="310"/>
      <c r="AY38" s="310"/>
      <c r="AZ38" s="310"/>
      <c r="BA38" s="310"/>
      <c r="BB38" s="310"/>
      <c r="BC38" s="310"/>
      <c r="BD38" s="310"/>
      <c r="BE38" s="310"/>
      <c r="BF38" s="310"/>
      <c r="BG38" s="310"/>
      <c r="BH38" s="310"/>
      <c r="BI38" s="310"/>
      <c r="BJ38" s="310"/>
      <c r="BK38" s="310"/>
      <c r="BL38" s="310"/>
      <c r="BM38" s="310"/>
      <c r="BN38" s="310"/>
      <c r="BO38" s="310"/>
      <c r="BP38" s="310"/>
      <c r="BQ38" s="310"/>
      <c r="BR38" s="310"/>
      <c r="BS38" s="310"/>
      <c r="BT38" s="310"/>
      <c r="BU38" s="310"/>
    </row>
    <row r="39" spans="1:73" s="314" customFormat="1" ht="11.25" x14ac:dyDescent="0.2">
      <c r="A39" s="310"/>
      <c r="B39" s="310"/>
      <c r="C39" s="310"/>
      <c r="D39" s="310"/>
      <c r="E39" s="310"/>
      <c r="F39" s="310"/>
      <c r="G39" s="310"/>
      <c r="H39" s="310"/>
      <c r="I39" s="310"/>
      <c r="J39" s="310"/>
      <c r="K39" s="310"/>
      <c r="L39" s="310"/>
      <c r="M39" s="310"/>
      <c r="N39" s="310"/>
      <c r="O39" s="310"/>
      <c r="P39" s="310"/>
      <c r="Q39" s="310"/>
      <c r="R39" s="310"/>
      <c r="S39" s="310"/>
      <c r="T39" s="310"/>
      <c r="U39" s="310"/>
      <c r="V39" s="310"/>
      <c r="W39" s="310"/>
      <c r="X39" s="310"/>
      <c r="Y39" s="310"/>
      <c r="Z39" s="310"/>
      <c r="AA39" s="310"/>
      <c r="AB39" s="310"/>
      <c r="AC39" s="310"/>
      <c r="AD39" s="310"/>
      <c r="AE39" s="310"/>
      <c r="AF39" s="310"/>
      <c r="AG39" s="310"/>
      <c r="AH39" s="310"/>
      <c r="AI39" s="310"/>
      <c r="AJ39" s="310"/>
      <c r="AK39" s="310"/>
      <c r="AL39" s="310"/>
      <c r="AM39" s="310"/>
      <c r="AN39" s="310"/>
      <c r="AO39" s="310"/>
      <c r="AP39" s="310"/>
      <c r="AQ39" s="310"/>
      <c r="AR39" s="310"/>
      <c r="AS39" s="310"/>
      <c r="AT39" s="310"/>
      <c r="AU39" s="310"/>
      <c r="AV39" s="310"/>
      <c r="AW39" s="310"/>
      <c r="AX39" s="310"/>
      <c r="AY39" s="310"/>
      <c r="AZ39" s="310"/>
      <c r="BA39" s="310"/>
      <c r="BB39" s="310"/>
      <c r="BC39" s="310"/>
      <c r="BD39" s="310"/>
      <c r="BE39" s="310"/>
      <c r="BF39" s="310"/>
      <c r="BG39" s="310"/>
      <c r="BH39" s="310"/>
      <c r="BI39" s="310"/>
      <c r="BJ39" s="310"/>
      <c r="BK39" s="310"/>
      <c r="BL39" s="310"/>
      <c r="BM39" s="310"/>
      <c r="BN39" s="310"/>
      <c r="BO39" s="310"/>
      <c r="BP39" s="310"/>
      <c r="BQ39" s="310"/>
      <c r="BR39" s="310"/>
      <c r="BS39" s="310"/>
      <c r="BT39" s="310"/>
      <c r="BU39" s="310"/>
    </row>
    <row r="40" spans="1:73" s="314" customFormat="1" ht="11.25" x14ac:dyDescent="0.2">
      <c r="A40" s="310"/>
      <c r="B40" s="310"/>
      <c r="C40" s="310"/>
      <c r="D40" s="310"/>
      <c r="E40" s="310"/>
      <c r="F40" s="310"/>
      <c r="G40" s="310"/>
      <c r="H40" s="310"/>
      <c r="I40" s="310"/>
      <c r="J40" s="310"/>
      <c r="K40" s="310"/>
      <c r="L40" s="310"/>
      <c r="M40" s="310"/>
      <c r="N40" s="310"/>
      <c r="O40" s="310"/>
      <c r="P40" s="310"/>
      <c r="Q40" s="310"/>
      <c r="R40" s="310"/>
      <c r="S40" s="310"/>
      <c r="T40" s="310"/>
      <c r="U40" s="310"/>
      <c r="V40" s="310"/>
      <c r="W40" s="310"/>
      <c r="X40" s="310"/>
      <c r="Y40" s="310"/>
      <c r="Z40" s="310"/>
      <c r="AA40" s="310"/>
      <c r="AB40" s="310"/>
      <c r="AC40" s="310"/>
      <c r="AD40" s="310"/>
      <c r="AE40" s="310"/>
      <c r="AF40" s="310"/>
      <c r="AG40" s="310"/>
      <c r="AH40" s="310"/>
      <c r="AI40" s="310"/>
      <c r="AJ40" s="310"/>
      <c r="AK40" s="310"/>
      <c r="AL40" s="310"/>
      <c r="AM40" s="310"/>
      <c r="AN40" s="310"/>
      <c r="AO40" s="310"/>
      <c r="AP40" s="310"/>
      <c r="AQ40" s="310"/>
      <c r="AR40" s="310"/>
      <c r="AS40" s="310"/>
      <c r="AT40" s="310"/>
      <c r="AU40" s="310"/>
      <c r="AV40" s="310"/>
      <c r="AW40" s="310"/>
      <c r="AX40" s="310"/>
      <c r="AY40" s="310"/>
      <c r="AZ40" s="310"/>
      <c r="BA40" s="310"/>
      <c r="BB40" s="310"/>
      <c r="BC40" s="310"/>
      <c r="BD40" s="310"/>
      <c r="BE40" s="310"/>
      <c r="BF40" s="310"/>
      <c r="BG40" s="310"/>
      <c r="BH40" s="310"/>
      <c r="BI40" s="310"/>
      <c r="BJ40" s="310"/>
      <c r="BK40" s="310"/>
      <c r="BL40" s="310"/>
      <c r="BM40" s="310"/>
      <c r="BN40" s="310"/>
      <c r="BO40" s="310"/>
      <c r="BP40" s="310"/>
      <c r="BQ40" s="310"/>
      <c r="BR40" s="310"/>
      <c r="BS40" s="310"/>
      <c r="BT40" s="310"/>
      <c r="BU40" s="310"/>
    </row>
    <row r="41" spans="1:73" s="314" customFormat="1" ht="11.25" x14ac:dyDescent="0.2">
      <c r="A41" s="310"/>
      <c r="B41" s="310"/>
      <c r="C41" s="310"/>
      <c r="D41" s="310"/>
      <c r="E41" s="310"/>
      <c r="F41" s="310"/>
      <c r="G41" s="310"/>
      <c r="H41" s="310"/>
      <c r="I41" s="310"/>
      <c r="J41" s="310"/>
      <c r="K41" s="310"/>
      <c r="L41" s="310"/>
      <c r="M41" s="310"/>
      <c r="N41" s="310"/>
      <c r="O41" s="310"/>
      <c r="P41" s="310"/>
      <c r="Q41" s="310"/>
      <c r="R41" s="310"/>
      <c r="S41" s="310"/>
      <c r="T41" s="310"/>
      <c r="U41" s="310"/>
      <c r="V41" s="310"/>
      <c r="W41" s="310"/>
      <c r="X41" s="310"/>
      <c r="Y41" s="310"/>
      <c r="Z41" s="310"/>
      <c r="AA41" s="310"/>
      <c r="AB41" s="310"/>
      <c r="AC41" s="310"/>
      <c r="AD41" s="310"/>
      <c r="AE41" s="310"/>
      <c r="AF41" s="310"/>
      <c r="AG41" s="310"/>
      <c r="AH41" s="310"/>
      <c r="AI41" s="310"/>
      <c r="AJ41" s="310"/>
      <c r="AK41" s="310"/>
      <c r="AL41" s="310"/>
      <c r="AM41" s="310"/>
      <c r="AN41" s="310"/>
      <c r="AO41" s="310"/>
      <c r="AP41" s="310"/>
      <c r="AQ41" s="310"/>
      <c r="AR41" s="310"/>
      <c r="AS41" s="310"/>
      <c r="AT41" s="310"/>
      <c r="AU41" s="310"/>
      <c r="AV41" s="310"/>
      <c r="AW41" s="310"/>
      <c r="AX41" s="310"/>
      <c r="AY41" s="310"/>
      <c r="AZ41" s="310"/>
      <c r="BA41" s="310"/>
      <c r="BB41" s="310"/>
      <c r="BC41" s="310"/>
      <c r="BD41" s="310"/>
      <c r="BE41" s="310"/>
      <c r="BF41" s="310"/>
      <c r="BG41" s="310"/>
      <c r="BH41" s="310"/>
      <c r="BI41" s="310"/>
      <c r="BJ41" s="310"/>
      <c r="BK41" s="310"/>
      <c r="BL41" s="310"/>
      <c r="BM41" s="310"/>
      <c r="BN41" s="310"/>
      <c r="BO41" s="310"/>
      <c r="BP41" s="310"/>
      <c r="BQ41" s="310"/>
      <c r="BR41" s="310"/>
      <c r="BS41" s="310"/>
      <c r="BT41" s="310"/>
      <c r="BU41" s="310"/>
    </row>
    <row r="42" spans="1:73" s="314" customFormat="1" ht="11.25" x14ac:dyDescent="0.2">
      <c r="A42" s="310"/>
      <c r="B42" s="310"/>
      <c r="C42" s="310"/>
      <c r="D42" s="310"/>
      <c r="E42" s="310"/>
      <c r="F42" s="310"/>
      <c r="G42" s="310"/>
      <c r="H42" s="310"/>
      <c r="I42" s="310"/>
      <c r="J42" s="310"/>
      <c r="K42" s="310"/>
      <c r="L42" s="310"/>
      <c r="M42" s="310"/>
      <c r="N42" s="310"/>
      <c r="O42" s="310"/>
      <c r="P42" s="310"/>
      <c r="Q42" s="310"/>
      <c r="R42" s="310"/>
      <c r="S42" s="310"/>
      <c r="T42" s="310"/>
      <c r="U42" s="310"/>
      <c r="V42" s="310"/>
      <c r="W42" s="310"/>
      <c r="X42" s="310"/>
      <c r="Y42" s="310"/>
      <c r="Z42" s="310"/>
      <c r="AA42" s="310"/>
      <c r="AB42" s="310"/>
      <c r="AC42" s="310"/>
      <c r="AD42" s="310"/>
      <c r="AE42" s="310"/>
      <c r="AF42" s="310"/>
      <c r="AG42" s="310"/>
      <c r="AH42" s="310"/>
      <c r="AI42" s="310"/>
      <c r="AJ42" s="310"/>
      <c r="AK42" s="310"/>
      <c r="AL42" s="310"/>
      <c r="AM42" s="310"/>
      <c r="AN42" s="310"/>
      <c r="AO42" s="310"/>
      <c r="AP42" s="310"/>
      <c r="AQ42" s="310"/>
      <c r="AR42" s="310"/>
      <c r="AS42" s="310"/>
      <c r="AT42" s="310"/>
      <c r="AU42" s="310"/>
      <c r="AV42" s="310"/>
      <c r="AW42" s="310"/>
      <c r="AX42" s="310"/>
      <c r="AY42" s="310"/>
      <c r="AZ42" s="310"/>
      <c r="BA42" s="310"/>
      <c r="BB42" s="310"/>
      <c r="BC42" s="310"/>
      <c r="BD42" s="310"/>
      <c r="BE42" s="310"/>
      <c r="BF42" s="310"/>
      <c r="BG42" s="310"/>
      <c r="BH42" s="310"/>
      <c r="BI42" s="310"/>
      <c r="BJ42" s="310"/>
      <c r="BK42" s="310"/>
      <c r="BL42" s="310"/>
      <c r="BM42" s="310"/>
      <c r="BN42" s="310"/>
      <c r="BO42" s="310"/>
      <c r="BP42" s="310"/>
      <c r="BQ42" s="310"/>
      <c r="BR42" s="310"/>
      <c r="BS42" s="310"/>
      <c r="BT42" s="310"/>
      <c r="BU42" s="310"/>
    </row>
    <row r="43" spans="1:73" s="314" customFormat="1" ht="11.25" x14ac:dyDescent="0.2">
      <c r="A43" s="310"/>
      <c r="B43" s="310"/>
      <c r="C43" s="310"/>
      <c r="D43" s="310"/>
      <c r="E43" s="310"/>
      <c r="F43" s="310"/>
      <c r="G43" s="310"/>
      <c r="H43" s="310"/>
      <c r="I43" s="310"/>
      <c r="J43" s="310"/>
      <c r="K43" s="310"/>
      <c r="L43" s="310"/>
      <c r="M43" s="310"/>
      <c r="N43" s="310"/>
      <c r="O43" s="310"/>
      <c r="P43" s="310"/>
      <c r="Q43" s="310"/>
      <c r="R43" s="310"/>
      <c r="S43" s="310"/>
      <c r="T43" s="310"/>
      <c r="U43" s="310"/>
      <c r="V43" s="310"/>
      <c r="W43" s="310"/>
      <c r="X43" s="310"/>
      <c r="Y43" s="310"/>
      <c r="Z43" s="310"/>
      <c r="AA43" s="310"/>
      <c r="AB43" s="310"/>
      <c r="AC43" s="310"/>
      <c r="AD43" s="310"/>
      <c r="AE43" s="310"/>
      <c r="AF43" s="310"/>
      <c r="AG43" s="310"/>
      <c r="AH43" s="310"/>
      <c r="AI43" s="310"/>
      <c r="AJ43" s="310"/>
      <c r="AK43" s="310"/>
      <c r="AL43" s="310"/>
      <c r="AM43" s="310"/>
      <c r="AN43" s="310"/>
      <c r="AO43" s="310"/>
      <c r="AP43" s="310"/>
      <c r="AQ43" s="310"/>
      <c r="AR43" s="310"/>
      <c r="AS43" s="310"/>
      <c r="AT43" s="310"/>
      <c r="AU43" s="310"/>
      <c r="AV43" s="310"/>
      <c r="AW43" s="310"/>
      <c r="AX43" s="310"/>
      <c r="AY43" s="310"/>
      <c r="AZ43" s="310"/>
      <c r="BA43" s="310"/>
      <c r="BB43" s="310"/>
      <c r="BC43" s="310"/>
      <c r="BD43" s="310"/>
      <c r="BE43" s="310"/>
      <c r="BF43" s="310"/>
      <c r="BG43" s="310"/>
      <c r="BH43" s="310"/>
      <c r="BI43" s="310"/>
      <c r="BJ43" s="310"/>
      <c r="BK43" s="310"/>
      <c r="BL43" s="310"/>
      <c r="BM43" s="310"/>
      <c r="BN43" s="310"/>
      <c r="BO43" s="310"/>
      <c r="BP43" s="310"/>
      <c r="BQ43" s="310"/>
      <c r="BR43" s="310"/>
      <c r="BS43" s="310"/>
      <c r="BT43" s="310"/>
      <c r="BU43" s="310"/>
    </row>
    <row r="44" spans="1:73" s="314" customFormat="1" ht="11.25" x14ac:dyDescent="0.2">
      <c r="A44" s="310"/>
      <c r="B44" s="310"/>
      <c r="C44" s="310"/>
      <c r="D44" s="310"/>
      <c r="E44" s="310"/>
      <c r="F44" s="310"/>
      <c r="G44" s="310"/>
      <c r="H44" s="310"/>
      <c r="I44" s="310"/>
      <c r="J44" s="310"/>
      <c r="K44" s="310"/>
      <c r="L44" s="310"/>
      <c r="M44" s="310"/>
      <c r="N44" s="310"/>
      <c r="O44" s="310"/>
      <c r="P44" s="310"/>
      <c r="Q44" s="310"/>
      <c r="R44" s="310"/>
      <c r="S44" s="310"/>
      <c r="T44" s="310"/>
      <c r="U44" s="310"/>
      <c r="V44" s="310"/>
      <c r="W44" s="310"/>
      <c r="X44" s="310"/>
      <c r="Y44" s="310"/>
      <c r="Z44" s="310"/>
      <c r="AA44" s="310"/>
      <c r="AB44" s="310"/>
      <c r="AC44" s="310"/>
      <c r="AD44" s="310"/>
      <c r="AE44" s="310"/>
      <c r="AF44" s="310"/>
      <c r="AG44" s="310"/>
      <c r="AH44" s="310"/>
      <c r="AI44" s="310"/>
      <c r="AJ44" s="310"/>
      <c r="AK44" s="310"/>
      <c r="AL44" s="310"/>
      <c r="AM44" s="310"/>
      <c r="AN44" s="310"/>
      <c r="AO44" s="310"/>
      <c r="AP44" s="310"/>
      <c r="AQ44" s="310"/>
      <c r="AR44" s="310"/>
      <c r="AS44" s="310"/>
      <c r="AT44" s="310"/>
      <c r="AU44" s="310"/>
      <c r="AV44" s="310"/>
      <c r="AW44" s="310"/>
      <c r="AX44" s="310"/>
      <c r="AY44" s="310"/>
      <c r="AZ44" s="310"/>
      <c r="BA44" s="310"/>
      <c r="BB44" s="310"/>
      <c r="BC44" s="310"/>
      <c r="BD44" s="310"/>
      <c r="BE44" s="310"/>
      <c r="BF44" s="310"/>
      <c r="BG44" s="310"/>
      <c r="BH44" s="310"/>
      <c r="BI44" s="310"/>
      <c r="BJ44" s="310"/>
      <c r="BK44" s="310"/>
      <c r="BL44" s="310"/>
      <c r="BM44" s="310"/>
      <c r="BN44" s="310"/>
      <c r="BO44" s="310"/>
      <c r="BP44" s="310"/>
      <c r="BQ44" s="310"/>
      <c r="BR44" s="310"/>
      <c r="BS44" s="310"/>
      <c r="BT44" s="310"/>
      <c r="BU44" s="310"/>
    </row>
    <row r="45" spans="1:73" s="314" customFormat="1" ht="11.25" x14ac:dyDescent="0.2">
      <c r="A45" s="310"/>
      <c r="B45" s="310"/>
      <c r="C45" s="310"/>
      <c r="D45" s="310"/>
      <c r="E45" s="310"/>
      <c r="F45" s="310"/>
      <c r="G45" s="310"/>
      <c r="H45" s="310"/>
      <c r="I45" s="310"/>
      <c r="J45" s="310"/>
      <c r="K45" s="310"/>
      <c r="L45" s="310"/>
      <c r="M45" s="310"/>
      <c r="N45" s="310"/>
      <c r="O45" s="310"/>
      <c r="P45" s="310"/>
      <c r="Q45" s="310"/>
      <c r="R45" s="310"/>
      <c r="S45" s="310"/>
      <c r="T45" s="310"/>
      <c r="U45" s="310"/>
      <c r="V45" s="310"/>
      <c r="W45" s="310"/>
      <c r="X45" s="310"/>
      <c r="Y45" s="310"/>
      <c r="Z45" s="310"/>
      <c r="AA45" s="310"/>
      <c r="AB45" s="310"/>
      <c r="AC45" s="310"/>
      <c r="AD45" s="310"/>
      <c r="AE45" s="310"/>
      <c r="AF45" s="310"/>
      <c r="AG45" s="310"/>
      <c r="AH45" s="310"/>
      <c r="AI45" s="310"/>
      <c r="AJ45" s="310"/>
      <c r="AK45" s="310"/>
      <c r="AL45" s="310"/>
      <c r="AM45" s="310"/>
      <c r="AN45" s="310"/>
      <c r="AO45" s="310"/>
      <c r="AP45" s="310"/>
      <c r="AQ45" s="310"/>
      <c r="AR45" s="310"/>
      <c r="AS45" s="310"/>
      <c r="AT45" s="310"/>
      <c r="AU45" s="310"/>
      <c r="AV45" s="310"/>
      <c r="AW45" s="310"/>
      <c r="AX45" s="310"/>
      <c r="AY45" s="310"/>
      <c r="AZ45" s="310"/>
      <c r="BA45" s="310"/>
      <c r="BB45" s="310"/>
      <c r="BC45" s="310"/>
      <c r="BD45" s="310"/>
      <c r="BE45" s="310"/>
      <c r="BF45" s="310"/>
      <c r="BG45" s="310"/>
      <c r="BH45" s="310"/>
      <c r="BI45" s="310"/>
      <c r="BJ45" s="310"/>
      <c r="BK45" s="310"/>
      <c r="BL45" s="310"/>
      <c r="BM45" s="310"/>
      <c r="BN45" s="310"/>
      <c r="BO45" s="310"/>
      <c r="BP45" s="310"/>
      <c r="BQ45" s="310"/>
      <c r="BR45" s="310"/>
      <c r="BS45" s="310"/>
      <c r="BT45" s="310"/>
      <c r="BU45" s="310"/>
    </row>
    <row r="46" spans="1:73" s="314" customFormat="1" ht="11.25" x14ac:dyDescent="0.2">
      <c r="A46" s="310"/>
      <c r="B46" s="310"/>
      <c r="C46" s="310"/>
      <c r="D46" s="310"/>
      <c r="E46" s="310"/>
      <c r="F46" s="310"/>
      <c r="G46" s="310"/>
      <c r="H46" s="310"/>
      <c r="I46" s="310"/>
      <c r="J46" s="310"/>
      <c r="K46" s="310"/>
      <c r="L46" s="310"/>
      <c r="M46" s="310"/>
      <c r="N46" s="310"/>
      <c r="O46" s="310"/>
      <c r="P46" s="310"/>
      <c r="Q46" s="310"/>
      <c r="R46" s="310"/>
      <c r="S46" s="310"/>
      <c r="T46" s="310"/>
      <c r="U46" s="310"/>
      <c r="V46" s="310"/>
      <c r="W46" s="310"/>
      <c r="X46" s="310"/>
      <c r="Y46" s="310"/>
      <c r="Z46" s="310"/>
      <c r="AA46" s="310"/>
      <c r="AB46" s="310"/>
      <c r="AC46" s="310"/>
      <c r="AD46" s="310"/>
      <c r="AE46" s="310"/>
      <c r="AF46" s="310"/>
      <c r="AG46" s="310"/>
      <c r="AH46" s="310"/>
      <c r="AI46" s="310"/>
      <c r="AJ46" s="310"/>
      <c r="AK46" s="310"/>
      <c r="AL46" s="310"/>
      <c r="AM46" s="310"/>
      <c r="AN46" s="310"/>
      <c r="AO46" s="310"/>
      <c r="AP46" s="310"/>
      <c r="AQ46" s="310"/>
      <c r="AR46" s="310"/>
      <c r="AS46" s="310"/>
      <c r="AT46" s="310"/>
      <c r="AU46" s="310"/>
      <c r="AV46" s="310"/>
      <c r="AW46" s="310"/>
      <c r="AX46" s="310"/>
      <c r="AY46" s="310"/>
      <c r="AZ46" s="310"/>
      <c r="BA46" s="310"/>
      <c r="BB46" s="310"/>
      <c r="BC46" s="310"/>
      <c r="BD46" s="310"/>
      <c r="BE46" s="310"/>
      <c r="BF46" s="310"/>
      <c r="BG46" s="310"/>
      <c r="BH46" s="310"/>
      <c r="BI46" s="310"/>
      <c r="BJ46" s="310"/>
      <c r="BK46" s="310"/>
      <c r="BL46" s="310"/>
      <c r="BM46" s="310"/>
      <c r="BN46" s="310"/>
      <c r="BO46" s="310"/>
      <c r="BP46" s="310"/>
      <c r="BQ46" s="310"/>
      <c r="BR46" s="310"/>
      <c r="BS46" s="310"/>
      <c r="BT46" s="310"/>
      <c r="BU46" s="310"/>
    </row>
    <row r="47" spans="1:73" s="314" customFormat="1" ht="11.25" x14ac:dyDescent="0.2">
      <c r="A47" s="310"/>
      <c r="B47" s="310"/>
      <c r="C47" s="310"/>
      <c r="D47" s="310"/>
      <c r="E47" s="310"/>
      <c r="F47" s="310"/>
      <c r="G47" s="310"/>
      <c r="H47" s="310"/>
      <c r="I47" s="310"/>
      <c r="J47" s="310"/>
      <c r="K47" s="310"/>
      <c r="L47" s="310"/>
      <c r="M47" s="310"/>
      <c r="N47" s="310"/>
      <c r="O47" s="310"/>
      <c r="P47" s="310"/>
      <c r="Q47" s="310"/>
      <c r="R47" s="310"/>
      <c r="S47" s="310"/>
      <c r="T47" s="310"/>
      <c r="U47" s="310"/>
      <c r="V47" s="310"/>
      <c r="W47" s="310"/>
      <c r="X47" s="310"/>
      <c r="Y47" s="310"/>
      <c r="Z47" s="310"/>
      <c r="AA47" s="310"/>
      <c r="AB47" s="310"/>
      <c r="AC47" s="310"/>
      <c r="AD47" s="310"/>
      <c r="AE47" s="310"/>
      <c r="AF47" s="310"/>
      <c r="AG47" s="310"/>
      <c r="AH47" s="310"/>
      <c r="AI47" s="310"/>
      <c r="AJ47" s="310"/>
      <c r="AK47" s="310"/>
      <c r="AL47" s="310"/>
      <c r="AM47" s="310"/>
      <c r="AN47" s="310"/>
      <c r="AO47" s="310"/>
      <c r="AP47" s="310"/>
      <c r="AQ47" s="310"/>
      <c r="AR47" s="310"/>
      <c r="AS47" s="310"/>
      <c r="AT47" s="310"/>
      <c r="AU47" s="310"/>
      <c r="AV47" s="310"/>
      <c r="AW47" s="310"/>
      <c r="AX47" s="310"/>
      <c r="AY47" s="310"/>
      <c r="AZ47" s="310"/>
      <c r="BA47" s="310"/>
      <c r="BB47" s="310"/>
      <c r="BC47" s="310"/>
      <c r="BD47" s="310"/>
      <c r="BE47" s="310"/>
      <c r="BF47" s="310"/>
      <c r="BG47" s="310"/>
      <c r="BH47" s="310"/>
      <c r="BI47" s="310"/>
      <c r="BJ47" s="310"/>
      <c r="BK47" s="310"/>
      <c r="BL47" s="310"/>
      <c r="BM47" s="310"/>
      <c r="BN47" s="310"/>
      <c r="BO47" s="310"/>
      <c r="BP47" s="310"/>
      <c r="BQ47" s="310"/>
      <c r="BR47" s="310"/>
      <c r="BS47" s="310"/>
      <c r="BT47" s="310"/>
      <c r="BU47" s="310"/>
    </row>
    <row r="48" spans="1:73" s="314" customFormat="1" ht="11.25" x14ac:dyDescent="0.2">
      <c r="A48" s="310"/>
      <c r="B48" s="310"/>
      <c r="C48" s="310"/>
      <c r="D48" s="310"/>
      <c r="E48" s="310"/>
      <c r="F48" s="310"/>
      <c r="G48" s="310"/>
      <c r="H48" s="310"/>
      <c r="I48" s="310"/>
      <c r="J48" s="310"/>
      <c r="K48" s="310"/>
      <c r="L48" s="310"/>
      <c r="M48" s="310"/>
      <c r="N48" s="310"/>
      <c r="O48" s="310"/>
      <c r="P48" s="310"/>
      <c r="Q48" s="310"/>
      <c r="R48" s="310"/>
      <c r="S48" s="310"/>
      <c r="T48" s="310"/>
      <c r="U48" s="310"/>
      <c r="V48" s="310"/>
      <c r="W48" s="310"/>
      <c r="X48" s="310"/>
      <c r="Y48" s="310"/>
      <c r="Z48" s="310"/>
      <c r="AA48" s="310"/>
      <c r="AB48" s="310"/>
      <c r="AC48" s="310"/>
      <c r="AD48" s="310"/>
      <c r="AE48" s="310"/>
      <c r="AF48" s="310"/>
      <c r="AG48" s="310"/>
      <c r="AH48" s="310"/>
      <c r="AI48" s="310"/>
      <c r="AJ48" s="310"/>
      <c r="AK48" s="310"/>
      <c r="AL48" s="310"/>
      <c r="AM48" s="310"/>
      <c r="AN48" s="310"/>
      <c r="AO48" s="310"/>
      <c r="AP48" s="310"/>
      <c r="AQ48" s="310"/>
      <c r="AR48" s="310"/>
      <c r="AS48" s="310"/>
      <c r="AT48" s="310"/>
      <c r="AU48" s="310"/>
      <c r="AV48" s="310"/>
      <c r="AW48" s="310"/>
      <c r="AX48" s="310"/>
      <c r="AY48" s="310"/>
      <c r="AZ48" s="310"/>
      <c r="BA48" s="310"/>
      <c r="BB48" s="310"/>
      <c r="BC48" s="310"/>
      <c r="BD48" s="310"/>
      <c r="BE48" s="310"/>
      <c r="BF48" s="310"/>
      <c r="BG48" s="310"/>
      <c r="BH48" s="310"/>
      <c r="BI48" s="310"/>
      <c r="BJ48" s="310"/>
      <c r="BK48" s="310"/>
      <c r="BL48" s="310"/>
      <c r="BM48" s="310"/>
      <c r="BN48" s="310"/>
      <c r="BO48" s="310"/>
      <c r="BP48" s="310"/>
      <c r="BQ48" s="310"/>
      <c r="BR48" s="310"/>
      <c r="BS48" s="310"/>
      <c r="BT48" s="310"/>
      <c r="BU48" s="310"/>
    </row>
    <row r="49" spans="1:73" s="314" customFormat="1" ht="11.25" x14ac:dyDescent="0.2">
      <c r="A49" s="310"/>
      <c r="B49" s="310"/>
      <c r="C49" s="310"/>
      <c r="D49" s="310"/>
      <c r="E49" s="310"/>
      <c r="F49" s="310"/>
      <c r="G49" s="310"/>
      <c r="H49" s="310"/>
      <c r="I49" s="310"/>
      <c r="J49" s="310"/>
      <c r="K49" s="310"/>
      <c r="L49" s="310"/>
      <c r="M49" s="310"/>
      <c r="N49" s="310"/>
      <c r="O49" s="310"/>
      <c r="P49" s="310"/>
      <c r="Q49" s="310"/>
      <c r="R49" s="310"/>
      <c r="S49" s="310"/>
      <c r="T49" s="310"/>
      <c r="U49" s="310"/>
      <c r="V49" s="310"/>
      <c r="W49" s="310"/>
      <c r="X49" s="310"/>
      <c r="Y49" s="310"/>
      <c r="Z49" s="310"/>
      <c r="AA49" s="310"/>
      <c r="AB49" s="310"/>
      <c r="AC49" s="310"/>
      <c r="AD49" s="310"/>
      <c r="AE49" s="310"/>
      <c r="AF49" s="310"/>
      <c r="AG49" s="310"/>
      <c r="AH49" s="310"/>
      <c r="AI49" s="310"/>
      <c r="AJ49" s="310"/>
      <c r="AK49" s="310"/>
      <c r="AL49" s="310"/>
      <c r="AM49" s="310"/>
      <c r="AN49" s="310"/>
      <c r="AO49" s="310"/>
      <c r="AP49" s="310"/>
      <c r="AQ49" s="310"/>
      <c r="AR49" s="310"/>
      <c r="AS49" s="310"/>
      <c r="AT49" s="310"/>
      <c r="AU49" s="310"/>
      <c r="AV49" s="310"/>
      <c r="AW49" s="310"/>
      <c r="AX49" s="310"/>
      <c r="AY49" s="310"/>
      <c r="AZ49" s="310"/>
      <c r="BA49" s="310"/>
      <c r="BB49" s="310"/>
      <c r="BC49" s="310"/>
      <c r="BD49" s="310"/>
      <c r="BE49" s="310"/>
      <c r="BF49" s="310"/>
      <c r="BG49" s="310"/>
      <c r="BH49" s="310"/>
      <c r="BI49" s="310"/>
      <c r="BJ49" s="310"/>
      <c r="BK49" s="310"/>
      <c r="BL49" s="310"/>
      <c r="BM49" s="310"/>
      <c r="BN49" s="310"/>
      <c r="BO49" s="310"/>
      <c r="BP49" s="310"/>
      <c r="BQ49" s="310"/>
      <c r="BR49" s="310"/>
      <c r="BS49" s="310"/>
      <c r="BT49" s="310"/>
      <c r="BU49" s="310"/>
    </row>
    <row r="50" spans="1:73" s="314" customFormat="1" ht="11.25" x14ac:dyDescent="0.2">
      <c r="A50" s="310"/>
      <c r="B50" s="310"/>
      <c r="C50" s="310"/>
      <c r="D50" s="310"/>
      <c r="E50" s="310"/>
      <c r="F50" s="310"/>
      <c r="G50" s="310"/>
      <c r="H50" s="310"/>
      <c r="I50" s="310"/>
      <c r="J50" s="310"/>
      <c r="K50" s="310"/>
      <c r="L50" s="310"/>
      <c r="M50" s="310"/>
      <c r="N50" s="310"/>
      <c r="O50" s="310"/>
      <c r="P50" s="310"/>
      <c r="Q50" s="310"/>
      <c r="R50" s="310"/>
      <c r="S50" s="310"/>
      <c r="T50" s="310"/>
      <c r="U50" s="310"/>
      <c r="V50" s="310"/>
      <c r="W50" s="310"/>
      <c r="X50" s="310"/>
      <c r="Y50" s="310"/>
      <c r="Z50" s="310"/>
      <c r="AA50" s="310"/>
      <c r="AB50" s="310"/>
      <c r="AC50" s="310"/>
      <c r="AD50" s="310"/>
      <c r="AE50" s="310"/>
      <c r="AF50" s="310"/>
      <c r="AG50" s="310"/>
      <c r="AH50" s="310"/>
      <c r="AI50" s="310"/>
      <c r="AJ50" s="310"/>
      <c r="AK50" s="310"/>
      <c r="AL50" s="310"/>
      <c r="AM50" s="310"/>
      <c r="AN50" s="310"/>
      <c r="AO50" s="310"/>
      <c r="AP50" s="310"/>
      <c r="AQ50" s="310"/>
      <c r="AR50" s="310"/>
      <c r="AS50" s="310"/>
      <c r="AT50" s="310"/>
      <c r="AU50" s="310"/>
      <c r="AV50" s="310"/>
      <c r="AW50" s="310"/>
      <c r="AX50" s="310"/>
      <c r="AY50" s="310"/>
      <c r="AZ50" s="310"/>
      <c r="BA50" s="310"/>
      <c r="BB50" s="310"/>
      <c r="BC50" s="310"/>
      <c r="BD50" s="310"/>
      <c r="BE50" s="310"/>
      <c r="BF50" s="310"/>
      <c r="BG50" s="310"/>
      <c r="BH50" s="310"/>
      <c r="BI50" s="310"/>
      <c r="BJ50" s="310"/>
      <c r="BK50" s="310"/>
      <c r="BL50" s="310"/>
      <c r="BM50" s="310"/>
      <c r="BN50" s="310"/>
      <c r="BO50" s="310"/>
      <c r="BP50" s="310"/>
      <c r="BQ50" s="310"/>
      <c r="BR50" s="310"/>
      <c r="BS50" s="310"/>
      <c r="BT50" s="310"/>
      <c r="BU50" s="310"/>
    </row>
    <row r="51" spans="1:73" s="314" customFormat="1" ht="11.25" x14ac:dyDescent="0.2">
      <c r="A51" s="310"/>
      <c r="B51" s="310"/>
      <c r="C51" s="310"/>
      <c r="D51" s="310"/>
      <c r="E51" s="310"/>
      <c r="F51" s="310"/>
      <c r="G51" s="310"/>
      <c r="H51" s="310"/>
      <c r="I51" s="310"/>
      <c r="J51" s="310"/>
      <c r="K51" s="310"/>
      <c r="L51" s="310"/>
      <c r="M51" s="310"/>
      <c r="N51" s="310"/>
      <c r="O51" s="310"/>
      <c r="P51" s="310"/>
      <c r="Q51" s="310"/>
      <c r="R51" s="310"/>
      <c r="S51" s="310"/>
      <c r="T51" s="310"/>
      <c r="U51" s="310"/>
      <c r="V51" s="310"/>
      <c r="W51" s="310"/>
      <c r="X51" s="310"/>
      <c r="Y51" s="310"/>
      <c r="Z51" s="310"/>
      <c r="AA51" s="310"/>
      <c r="AB51" s="310"/>
      <c r="AC51" s="310"/>
      <c r="AD51" s="310"/>
      <c r="AE51" s="310"/>
      <c r="AF51" s="310"/>
      <c r="AG51" s="310"/>
      <c r="AH51" s="310"/>
      <c r="AI51" s="310"/>
      <c r="AJ51" s="310"/>
      <c r="AK51" s="310"/>
      <c r="AL51" s="310"/>
      <c r="AM51" s="310"/>
      <c r="AN51" s="310"/>
      <c r="AO51" s="310"/>
      <c r="AP51" s="310"/>
      <c r="AQ51" s="310"/>
      <c r="AR51" s="310"/>
      <c r="AS51" s="310"/>
      <c r="AT51" s="310"/>
      <c r="AU51" s="310"/>
      <c r="AV51" s="310"/>
      <c r="AW51" s="310"/>
      <c r="AX51" s="310"/>
      <c r="AY51" s="310"/>
      <c r="AZ51" s="310"/>
      <c r="BA51" s="310"/>
      <c r="BB51" s="310"/>
      <c r="BC51" s="310"/>
      <c r="BD51" s="310"/>
      <c r="BE51" s="310"/>
      <c r="BF51" s="310"/>
      <c r="BG51" s="310"/>
      <c r="BH51" s="310"/>
      <c r="BI51" s="310"/>
      <c r="BJ51" s="310"/>
      <c r="BK51" s="310"/>
      <c r="BL51" s="310"/>
      <c r="BM51" s="310"/>
      <c r="BN51" s="310"/>
      <c r="BO51" s="310"/>
      <c r="BP51" s="310"/>
      <c r="BQ51" s="310"/>
      <c r="BR51" s="310"/>
      <c r="BS51" s="310"/>
      <c r="BT51" s="310"/>
      <c r="BU51" s="310"/>
    </row>
    <row r="52" spans="1:73" s="314" customFormat="1" ht="11.25" x14ac:dyDescent="0.2">
      <c r="A52" s="310"/>
      <c r="B52" s="310"/>
      <c r="C52" s="310"/>
      <c r="D52" s="310"/>
      <c r="E52" s="310"/>
      <c r="F52" s="310"/>
      <c r="G52" s="310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0"/>
      <c r="AE52" s="310"/>
      <c r="AF52" s="310"/>
      <c r="AG52" s="310"/>
      <c r="AH52" s="310"/>
      <c r="AI52" s="310"/>
      <c r="AJ52" s="310"/>
      <c r="AK52" s="310"/>
      <c r="AL52" s="310"/>
      <c r="AM52" s="310"/>
      <c r="AN52" s="310"/>
      <c r="AO52" s="310"/>
      <c r="AP52" s="310"/>
      <c r="AQ52" s="310"/>
      <c r="AR52" s="310"/>
      <c r="AS52" s="310"/>
      <c r="AT52" s="310"/>
      <c r="AU52" s="310"/>
      <c r="AV52" s="310"/>
      <c r="AW52" s="310"/>
      <c r="AX52" s="310"/>
      <c r="AY52" s="310"/>
      <c r="AZ52" s="310"/>
      <c r="BA52" s="310"/>
      <c r="BB52" s="310"/>
      <c r="BC52" s="310"/>
      <c r="BD52" s="310"/>
      <c r="BE52" s="310"/>
      <c r="BF52" s="310"/>
      <c r="BG52" s="310"/>
      <c r="BH52" s="310"/>
      <c r="BI52" s="310"/>
      <c r="BJ52" s="310"/>
      <c r="BK52" s="310"/>
      <c r="BL52" s="310"/>
      <c r="BM52" s="310"/>
      <c r="BN52" s="310"/>
      <c r="BO52" s="310"/>
      <c r="BP52" s="310"/>
      <c r="BQ52" s="310"/>
      <c r="BR52" s="310"/>
      <c r="BS52" s="310"/>
      <c r="BT52" s="310"/>
      <c r="BU52" s="310"/>
    </row>
    <row r="53" spans="1:73" s="314" customFormat="1" ht="11.25" x14ac:dyDescent="0.2">
      <c r="A53" s="310"/>
      <c r="B53" s="310"/>
      <c r="C53" s="310"/>
      <c r="D53" s="310"/>
      <c r="E53" s="310"/>
      <c r="F53" s="310"/>
      <c r="G53" s="310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0"/>
      <c r="AE53" s="310"/>
      <c r="AF53" s="310"/>
      <c r="AG53" s="310"/>
      <c r="AH53" s="310"/>
      <c r="AI53" s="310"/>
      <c r="AJ53" s="310"/>
      <c r="AK53" s="310"/>
      <c r="AL53" s="310"/>
      <c r="AM53" s="310"/>
      <c r="AN53" s="310"/>
      <c r="AO53" s="310"/>
      <c r="AP53" s="310"/>
      <c r="AQ53" s="310"/>
      <c r="AR53" s="310"/>
      <c r="AS53" s="310"/>
      <c r="AT53" s="310"/>
      <c r="AU53" s="310"/>
      <c r="AV53" s="310"/>
      <c r="AW53" s="310"/>
      <c r="AX53" s="310"/>
      <c r="AY53" s="310"/>
      <c r="AZ53" s="310"/>
      <c r="BA53" s="310"/>
      <c r="BB53" s="310"/>
      <c r="BC53" s="310"/>
      <c r="BD53" s="310"/>
      <c r="BE53" s="310"/>
      <c r="BF53" s="310"/>
      <c r="BG53" s="310"/>
      <c r="BH53" s="310"/>
      <c r="BI53" s="310"/>
      <c r="BJ53" s="310"/>
      <c r="BK53" s="310"/>
      <c r="BL53" s="310"/>
      <c r="BM53" s="310"/>
      <c r="BN53" s="310"/>
      <c r="BO53" s="310"/>
      <c r="BP53" s="310"/>
      <c r="BQ53" s="310"/>
      <c r="BR53" s="310"/>
      <c r="BS53" s="310"/>
      <c r="BT53" s="310"/>
      <c r="BU53" s="310"/>
    </row>
    <row r="54" spans="1:73" s="314" customFormat="1" ht="11.25" x14ac:dyDescent="0.2">
      <c r="A54" s="310"/>
      <c r="B54" s="310"/>
      <c r="C54" s="310"/>
      <c r="D54" s="310"/>
      <c r="E54" s="310"/>
      <c r="F54" s="310"/>
      <c r="G54" s="310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0"/>
      <c r="AE54" s="310"/>
      <c r="AF54" s="310"/>
      <c r="AG54" s="310"/>
      <c r="AH54" s="310"/>
      <c r="AI54" s="310"/>
      <c r="AJ54" s="310"/>
      <c r="AK54" s="310"/>
      <c r="AL54" s="310"/>
      <c r="AM54" s="310"/>
      <c r="AN54" s="310"/>
      <c r="AO54" s="310"/>
      <c r="AP54" s="310"/>
      <c r="AQ54" s="310"/>
      <c r="AR54" s="310"/>
      <c r="AS54" s="310"/>
      <c r="AT54" s="310"/>
      <c r="AU54" s="310"/>
      <c r="AV54" s="310"/>
      <c r="AW54" s="310"/>
      <c r="AX54" s="310"/>
      <c r="AY54" s="310"/>
      <c r="AZ54" s="310"/>
      <c r="BA54" s="310"/>
      <c r="BB54" s="310"/>
      <c r="BC54" s="310"/>
      <c r="BD54" s="310"/>
      <c r="BE54" s="310"/>
      <c r="BF54" s="310"/>
      <c r="BG54" s="310"/>
      <c r="BH54" s="310"/>
      <c r="BI54" s="310"/>
      <c r="BJ54" s="310"/>
      <c r="BK54" s="310"/>
      <c r="BL54" s="310"/>
      <c r="BM54" s="310"/>
      <c r="BN54" s="310"/>
      <c r="BO54" s="310"/>
      <c r="BP54" s="310"/>
      <c r="BQ54" s="310"/>
      <c r="BR54" s="310"/>
      <c r="BS54" s="310"/>
      <c r="BT54" s="310"/>
      <c r="BU54" s="310"/>
    </row>
    <row r="55" spans="1:73" s="314" customFormat="1" ht="11.25" x14ac:dyDescent="0.2">
      <c r="A55" s="310"/>
      <c r="B55" s="310"/>
      <c r="C55" s="310"/>
      <c r="D55" s="310"/>
      <c r="E55" s="310"/>
      <c r="F55" s="310"/>
      <c r="G55" s="310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0"/>
      <c r="AE55" s="310"/>
      <c r="AF55" s="310"/>
      <c r="AG55" s="310"/>
      <c r="AH55" s="310"/>
      <c r="AI55" s="310"/>
      <c r="AJ55" s="310"/>
      <c r="AK55" s="310"/>
      <c r="AL55" s="310"/>
      <c r="AM55" s="310"/>
      <c r="AN55" s="310"/>
      <c r="AO55" s="310"/>
      <c r="AP55" s="310"/>
      <c r="AQ55" s="310"/>
      <c r="AR55" s="310"/>
      <c r="AS55" s="310"/>
      <c r="AT55" s="310"/>
      <c r="AU55" s="310"/>
      <c r="AV55" s="310"/>
      <c r="AW55" s="310"/>
      <c r="AX55" s="310"/>
      <c r="AY55" s="310"/>
      <c r="AZ55" s="310"/>
      <c r="BA55" s="310"/>
      <c r="BB55" s="310"/>
      <c r="BC55" s="310"/>
      <c r="BD55" s="310"/>
      <c r="BE55" s="310"/>
      <c r="BF55" s="310"/>
      <c r="BG55" s="310"/>
      <c r="BH55" s="310"/>
      <c r="BI55" s="310"/>
      <c r="BJ55" s="310"/>
      <c r="BK55" s="310"/>
      <c r="BL55" s="310"/>
      <c r="BM55" s="310"/>
      <c r="BN55" s="310"/>
      <c r="BO55" s="310"/>
      <c r="BP55" s="310"/>
      <c r="BQ55" s="310"/>
      <c r="BR55" s="310"/>
      <c r="BS55" s="310"/>
      <c r="BT55" s="310"/>
      <c r="BU55" s="310"/>
    </row>
    <row r="56" spans="1:73" s="314" customFormat="1" ht="11.25" x14ac:dyDescent="0.2">
      <c r="A56" s="310"/>
      <c r="B56" s="310"/>
      <c r="C56" s="310"/>
      <c r="D56" s="310"/>
      <c r="E56" s="310"/>
      <c r="F56" s="310"/>
      <c r="G56" s="310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0"/>
      <c r="AE56" s="310"/>
      <c r="AF56" s="310"/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310"/>
      <c r="AR56" s="310"/>
      <c r="AS56" s="310"/>
      <c r="AT56" s="310"/>
      <c r="AU56" s="310"/>
      <c r="AV56" s="310"/>
      <c r="AW56" s="310"/>
      <c r="AX56" s="310"/>
      <c r="AY56" s="310"/>
      <c r="AZ56" s="310"/>
      <c r="BA56" s="310"/>
      <c r="BB56" s="310"/>
      <c r="BC56" s="310"/>
      <c r="BD56" s="310"/>
      <c r="BE56" s="310"/>
      <c r="BF56" s="310"/>
      <c r="BG56" s="310"/>
      <c r="BH56" s="310"/>
      <c r="BI56" s="310"/>
      <c r="BJ56" s="310"/>
      <c r="BK56" s="310"/>
      <c r="BL56" s="310"/>
      <c r="BM56" s="310"/>
      <c r="BN56" s="310"/>
      <c r="BO56" s="310"/>
      <c r="BP56" s="310"/>
      <c r="BQ56" s="310"/>
      <c r="BR56" s="310"/>
      <c r="BS56" s="310"/>
      <c r="BT56" s="310"/>
      <c r="BU56" s="310"/>
    </row>
    <row r="57" spans="1:73" s="314" customFormat="1" ht="11.25" x14ac:dyDescent="0.2">
      <c r="A57" s="310"/>
      <c r="B57" s="310"/>
      <c r="C57" s="310"/>
      <c r="D57" s="310"/>
      <c r="E57" s="310"/>
      <c r="F57" s="310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0"/>
      <c r="AE57" s="310"/>
      <c r="AF57" s="310"/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310"/>
      <c r="AR57" s="310"/>
      <c r="AS57" s="310"/>
      <c r="AT57" s="310"/>
      <c r="AU57" s="310"/>
      <c r="AV57" s="310"/>
      <c r="AW57" s="310"/>
      <c r="AX57" s="310"/>
      <c r="AY57" s="310"/>
      <c r="AZ57" s="310"/>
      <c r="BA57" s="310"/>
      <c r="BB57" s="310"/>
      <c r="BC57" s="310"/>
      <c r="BD57" s="310"/>
      <c r="BE57" s="310"/>
      <c r="BF57" s="310"/>
      <c r="BG57" s="310"/>
      <c r="BH57" s="310"/>
      <c r="BI57" s="310"/>
      <c r="BJ57" s="310"/>
      <c r="BK57" s="310"/>
      <c r="BL57" s="310"/>
      <c r="BM57" s="310"/>
      <c r="BN57" s="310"/>
      <c r="BO57" s="310"/>
      <c r="BP57" s="310"/>
      <c r="BQ57" s="310"/>
      <c r="BR57" s="310"/>
      <c r="BS57" s="310"/>
      <c r="BT57" s="310"/>
      <c r="BU57" s="310"/>
    </row>
    <row r="58" spans="1:73" s="314" customFormat="1" ht="11.25" x14ac:dyDescent="0.2">
      <c r="A58" s="310"/>
      <c r="B58" s="310"/>
      <c r="C58" s="310"/>
      <c r="D58" s="310"/>
      <c r="E58" s="310"/>
      <c r="F58" s="310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0"/>
      <c r="AE58" s="310"/>
      <c r="AF58" s="310"/>
      <c r="AG58" s="310"/>
      <c r="AH58" s="310"/>
      <c r="AI58" s="310"/>
      <c r="AJ58" s="310"/>
      <c r="AK58" s="310"/>
      <c r="AL58" s="310"/>
      <c r="AM58" s="310"/>
      <c r="AN58" s="310"/>
      <c r="AO58" s="310"/>
      <c r="AP58" s="310"/>
      <c r="AQ58" s="310"/>
      <c r="AR58" s="310"/>
      <c r="AS58" s="310"/>
      <c r="AT58" s="310"/>
      <c r="AU58" s="310"/>
      <c r="AV58" s="310"/>
      <c r="AW58" s="310"/>
      <c r="AX58" s="310"/>
      <c r="AY58" s="310"/>
      <c r="AZ58" s="310"/>
      <c r="BA58" s="310"/>
      <c r="BB58" s="310"/>
      <c r="BC58" s="310"/>
      <c r="BD58" s="310"/>
      <c r="BE58" s="310"/>
      <c r="BF58" s="310"/>
      <c r="BG58" s="310"/>
      <c r="BH58" s="310"/>
      <c r="BI58" s="310"/>
      <c r="BJ58" s="310"/>
      <c r="BK58" s="310"/>
      <c r="BL58" s="310"/>
      <c r="BM58" s="310"/>
      <c r="BN58" s="310"/>
      <c r="BO58" s="310"/>
      <c r="BP58" s="310"/>
      <c r="BQ58" s="310"/>
      <c r="BR58" s="310"/>
      <c r="BS58" s="310"/>
      <c r="BT58" s="310"/>
      <c r="BU58" s="310"/>
    </row>
    <row r="59" spans="1:73" s="314" customFormat="1" ht="11.25" x14ac:dyDescent="0.2">
      <c r="A59" s="310"/>
      <c r="B59" s="310"/>
      <c r="C59" s="310"/>
      <c r="D59" s="310"/>
      <c r="E59" s="310"/>
      <c r="F59" s="310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0"/>
      <c r="AE59" s="310"/>
      <c r="AF59" s="310"/>
      <c r="AG59" s="310"/>
      <c r="AH59" s="310"/>
      <c r="AI59" s="310"/>
      <c r="AJ59" s="310"/>
      <c r="AK59" s="310"/>
      <c r="AL59" s="310"/>
      <c r="AM59" s="310"/>
      <c r="AN59" s="310"/>
      <c r="AO59" s="310"/>
      <c r="AP59" s="310"/>
      <c r="AQ59" s="310"/>
      <c r="AR59" s="310"/>
      <c r="AS59" s="310"/>
      <c r="AT59" s="310"/>
      <c r="AU59" s="310"/>
      <c r="AV59" s="310"/>
      <c r="AW59" s="310"/>
      <c r="AX59" s="310"/>
      <c r="AY59" s="310"/>
      <c r="AZ59" s="310"/>
      <c r="BA59" s="310"/>
      <c r="BB59" s="310"/>
      <c r="BC59" s="310"/>
      <c r="BD59" s="310"/>
      <c r="BE59" s="310"/>
      <c r="BF59" s="310"/>
      <c r="BG59" s="310"/>
      <c r="BH59" s="310"/>
      <c r="BI59" s="310"/>
      <c r="BJ59" s="310"/>
      <c r="BK59" s="310"/>
      <c r="BL59" s="310"/>
      <c r="BM59" s="310"/>
      <c r="BN59" s="310"/>
      <c r="BO59" s="310"/>
      <c r="BP59" s="310"/>
      <c r="BQ59" s="310"/>
      <c r="BR59" s="310"/>
      <c r="BS59" s="310"/>
      <c r="BT59" s="310"/>
      <c r="BU59" s="310"/>
    </row>
    <row r="60" spans="1:73" s="314" customFormat="1" ht="11.25" x14ac:dyDescent="0.2">
      <c r="A60" s="310"/>
      <c r="B60" s="310"/>
      <c r="C60" s="310"/>
      <c r="D60" s="310"/>
      <c r="E60" s="310"/>
      <c r="F60" s="310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0"/>
      <c r="AE60" s="310"/>
      <c r="AF60" s="310"/>
      <c r="AG60" s="310"/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0"/>
      <c r="AT60" s="310"/>
      <c r="AU60" s="310"/>
      <c r="AV60" s="310"/>
      <c r="AW60" s="310"/>
      <c r="AX60" s="310"/>
      <c r="AY60" s="310"/>
      <c r="AZ60" s="310"/>
      <c r="BA60" s="310"/>
      <c r="BB60" s="310"/>
      <c r="BC60" s="310"/>
      <c r="BD60" s="310"/>
      <c r="BE60" s="310"/>
      <c r="BF60" s="310"/>
      <c r="BG60" s="310"/>
      <c r="BH60" s="310"/>
      <c r="BI60" s="310"/>
      <c r="BJ60" s="310"/>
      <c r="BK60" s="310"/>
      <c r="BL60" s="310"/>
      <c r="BM60" s="310"/>
      <c r="BN60" s="310"/>
      <c r="BO60" s="310"/>
      <c r="BP60" s="310"/>
      <c r="BQ60" s="310"/>
      <c r="BR60" s="310"/>
      <c r="BS60" s="310"/>
      <c r="BT60" s="310"/>
      <c r="BU60" s="310"/>
    </row>
    <row r="61" spans="1:73" s="314" customFormat="1" ht="11.25" x14ac:dyDescent="0.2">
      <c r="A61" s="310"/>
      <c r="B61" s="310"/>
      <c r="C61" s="310"/>
      <c r="D61" s="310"/>
      <c r="E61" s="310"/>
      <c r="F61" s="310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0"/>
      <c r="AE61" s="310"/>
      <c r="AF61" s="310"/>
      <c r="AG61" s="310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0"/>
      <c r="AT61" s="310"/>
      <c r="AU61" s="310"/>
      <c r="AV61" s="310"/>
      <c r="AW61" s="310"/>
      <c r="AX61" s="310"/>
      <c r="AY61" s="310"/>
      <c r="AZ61" s="310"/>
      <c r="BA61" s="310"/>
      <c r="BB61" s="310"/>
      <c r="BC61" s="310"/>
      <c r="BD61" s="310"/>
      <c r="BE61" s="310"/>
      <c r="BF61" s="310"/>
      <c r="BG61" s="310"/>
      <c r="BH61" s="310"/>
      <c r="BI61" s="310"/>
      <c r="BJ61" s="310"/>
      <c r="BK61" s="310"/>
      <c r="BL61" s="310"/>
      <c r="BM61" s="310"/>
      <c r="BN61" s="310"/>
      <c r="BO61" s="310"/>
      <c r="BP61" s="310"/>
      <c r="BQ61" s="310"/>
      <c r="BR61" s="310"/>
      <c r="BS61" s="310"/>
      <c r="BT61" s="310"/>
      <c r="BU61" s="310"/>
    </row>
    <row r="62" spans="1:73" s="314" customFormat="1" ht="11.25" x14ac:dyDescent="0.2">
      <c r="A62" s="310"/>
      <c r="B62" s="310"/>
      <c r="C62" s="310"/>
      <c r="D62" s="310"/>
      <c r="E62" s="310"/>
      <c r="F62" s="310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0"/>
      <c r="AE62" s="310"/>
      <c r="AF62" s="310"/>
      <c r="AG62" s="310"/>
      <c r="AH62" s="310"/>
      <c r="AI62" s="310"/>
      <c r="AJ62" s="310"/>
      <c r="AK62" s="310"/>
      <c r="AL62" s="310"/>
      <c r="AM62" s="310"/>
      <c r="AN62" s="310"/>
      <c r="AO62" s="310"/>
      <c r="AP62" s="310"/>
      <c r="AQ62" s="310"/>
      <c r="AR62" s="310"/>
      <c r="AS62" s="310"/>
      <c r="AT62" s="310"/>
      <c r="AU62" s="310"/>
      <c r="AV62" s="310"/>
      <c r="AW62" s="310"/>
      <c r="AX62" s="310"/>
      <c r="AY62" s="310"/>
      <c r="AZ62" s="310"/>
      <c r="BA62" s="310"/>
      <c r="BB62" s="310"/>
      <c r="BC62" s="310"/>
      <c r="BD62" s="310"/>
      <c r="BE62" s="310"/>
      <c r="BF62" s="310"/>
      <c r="BG62" s="310"/>
      <c r="BH62" s="310"/>
      <c r="BI62" s="310"/>
      <c r="BJ62" s="310"/>
      <c r="BK62" s="310"/>
      <c r="BL62" s="310"/>
      <c r="BM62" s="310"/>
      <c r="BN62" s="310"/>
      <c r="BO62" s="310"/>
      <c r="BP62" s="310"/>
      <c r="BQ62" s="310"/>
      <c r="BR62" s="310"/>
      <c r="BS62" s="310"/>
      <c r="BT62" s="310"/>
      <c r="BU62" s="310"/>
    </row>
    <row r="63" spans="1:73" s="314" customFormat="1" ht="11.25" x14ac:dyDescent="0.2">
      <c r="A63" s="310"/>
      <c r="B63" s="310"/>
      <c r="C63" s="310"/>
      <c r="D63" s="310"/>
      <c r="E63" s="310"/>
      <c r="F63" s="310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0"/>
      <c r="AE63" s="310"/>
      <c r="AF63" s="310"/>
      <c r="AG63" s="310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0"/>
      <c r="AT63" s="310"/>
      <c r="AU63" s="310"/>
      <c r="AV63" s="310"/>
      <c r="AW63" s="310"/>
      <c r="AX63" s="310"/>
      <c r="AY63" s="310"/>
      <c r="AZ63" s="310"/>
      <c r="BA63" s="310"/>
      <c r="BB63" s="310"/>
      <c r="BC63" s="310"/>
      <c r="BD63" s="310"/>
      <c r="BE63" s="310"/>
      <c r="BF63" s="310"/>
      <c r="BG63" s="310"/>
      <c r="BH63" s="310"/>
      <c r="BI63" s="310"/>
      <c r="BJ63" s="310"/>
      <c r="BK63" s="310"/>
      <c r="BL63" s="310"/>
      <c r="BM63" s="310"/>
      <c r="BN63" s="310"/>
      <c r="BO63" s="310"/>
      <c r="BP63" s="310"/>
      <c r="BQ63" s="310"/>
      <c r="BR63" s="310"/>
      <c r="BS63" s="310"/>
      <c r="BT63" s="310"/>
      <c r="BU63" s="310"/>
    </row>
    <row r="64" spans="1:73" s="314" customFormat="1" ht="11.25" x14ac:dyDescent="0.2">
      <c r="A64" s="310"/>
      <c r="B64" s="310"/>
      <c r="C64" s="310"/>
      <c r="D64" s="310"/>
      <c r="E64" s="310"/>
      <c r="F64" s="310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0"/>
      <c r="AE64" s="310"/>
      <c r="AF64" s="310"/>
      <c r="AG64" s="310"/>
      <c r="AH64" s="310"/>
      <c r="AI64" s="310"/>
      <c r="AJ64" s="310"/>
      <c r="AK64" s="310"/>
      <c r="AL64" s="310"/>
      <c r="AM64" s="310"/>
      <c r="AN64" s="310"/>
      <c r="AO64" s="310"/>
      <c r="AP64" s="310"/>
      <c r="AQ64" s="310"/>
      <c r="AR64" s="310"/>
      <c r="AS64" s="310"/>
      <c r="AT64" s="310"/>
      <c r="AU64" s="310"/>
      <c r="AV64" s="310"/>
      <c r="AW64" s="310"/>
      <c r="AX64" s="310"/>
      <c r="AY64" s="310"/>
      <c r="AZ64" s="310"/>
      <c r="BA64" s="310"/>
      <c r="BB64" s="310"/>
      <c r="BC64" s="310"/>
      <c r="BD64" s="310"/>
      <c r="BE64" s="310"/>
      <c r="BF64" s="310"/>
      <c r="BG64" s="310"/>
      <c r="BH64" s="310"/>
      <c r="BI64" s="310"/>
      <c r="BJ64" s="310"/>
      <c r="BK64" s="310"/>
      <c r="BL64" s="310"/>
      <c r="BM64" s="310"/>
      <c r="BN64" s="310"/>
      <c r="BO64" s="310"/>
      <c r="BP64" s="310"/>
      <c r="BQ64" s="310"/>
      <c r="BR64" s="310"/>
      <c r="BS64" s="310"/>
      <c r="BT64" s="310"/>
      <c r="BU64" s="310"/>
    </row>
    <row r="65" spans="1:73" s="314" customFormat="1" ht="11.25" x14ac:dyDescent="0.2">
      <c r="A65" s="310"/>
      <c r="B65" s="310"/>
      <c r="C65" s="310"/>
      <c r="D65" s="310"/>
      <c r="E65" s="310"/>
      <c r="F65" s="310"/>
      <c r="G65" s="310"/>
      <c r="H65" s="310"/>
      <c r="I65" s="310"/>
      <c r="J65" s="310"/>
      <c r="K65" s="310"/>
      <c r="L65" s="310"/>
      <c r="M65" s="310"/>
      <c r="N65" s="310"/>
      <c r="O65" s="310"/>
      <c r="P65" s="310"/>
      <c r="Q65" s="310"/>
      <c r="R65" s="310"/>
      <c r="S65" s="310"/>
      <c r="T65" s="310"/>
      <c r="U65" s="310"/>
      <c r="V65" s="310"/>
      <c r="W65" s="310"/>
      <c r="X65" s="310"/>
      <c r="Y65" s="310"/>
      <c r="Z65" s="310"/>
      <c r="AA65" s="310"/>
      <c r="AB65" s="310"/>
      <c r="AC65" s="310"/>
      <c r="AD65" s="310"/>
      <c r="AE65" s="310"/>
      <c r="AF65" s="310"/>
      <c r="AG65" s="310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0"/>
      <c r="AT65" s="310"/>
      <c r="AU65" s="310"/>
      <c r="AV65" s="310"/>
      <c r="AW65" s="310"/>
      <c r="AX65" s="310"/>
      <c r="AY65" s="310"/>
      <c r="AZ65" s="310"/>
      <c r="BA65" s="310"/>
      <c r="BB65" s="310"/>
      <c r="BC65" s="310"/>
      <c r="BD65" s="310"/>
      <c r="BE65" s="310"/>
      <c r="BF65" s="310"/>
      <c r="BG65" s="310"/>
      <c r="BH65" s="310"/>
      <c r="BI65" s="310"/>
      <c r="BJ65" s="310"/>
      <c r="BK65" s="310"/>
      <c r="BL65" s="310"/>
      <c r="BM65" s="310"/>
      <c r="BN65" s="310"/>
      <c r="BO65" s="310"/>
      <c r="BP65" s="310"/>
      <c r="BQ65" s="310"/>
      <c r="BR65" s="310"/>
      <c r="BS65" s="310"/>
      <c r="BT65" s="310"/>
      <c r="BU65" s="310"/>
    </row>
    <row r="66" spans="1:73" s="314" customFormat="1" ht="11.25" x14ac:dyDescent="0.2">
      <c r="A66" s="310"/>
      <c r="B66" s="310"/>
      <c r="C66" s="310"/>
      <c r="D66" s="310"/>
      <c r="E66" s="310"/>
      <c r="F66" s="310"/>
      <c r="G66" s="310"/>
      <c r="H66" s="310"/>
      <c r="I66" s="310"/>
      <c r="J66" s="310"/>
      <c r="K66" s="310"/>
      <c r="L66" s="310"/>
      <c r="M66" s="310"/>
      <c r="N66" s="310"/>
      <c r="O66" s="310"/>
      <c r="P66" s="310"/>
      <c r="Q66" s="310"/>
      <c r="R66" s="310"/>
      <c r="S66" s="310"/>
      <c r="T66" s="310"/>
      <c r="U66" s="310"/>
      <c r="V66" s="310"/>
      <c r="W66" s="310"/>
      <c r="X66" s="310"/>
      <c r="Y66" s="310"/>
      <c r="Z66" s="310"/>
      <c r="AA66" s="310"/>
      <c r="AB66" s="310"/>
      <c r="AC66" s="310"/>
      <c r="AD66" s="310"/>
      <c r="AE66" s="310"/>
      <c r="AF66" s="310"/>
      <c r="AG66" s="310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0"/>
      <c r="AT66" s="310"/>
      <c r="AU66" s="310"/>
      <c r="AV66" s="310"/>
      <c r="AW66" s="310"/>
      <c r="AX66" s="310"/>
      <c r="AY66" s="310"/>
      <c r="AZ66" s="310"/>
      <c r="BA66" s="310"/>
      <c r="BB66" s="310"/>
      <c r="BC66" s="310"/>
      <c r="BD66" s="310"/>
      <c r="BE66" s="310"/>
      <c r="BF66" s="310"/>
      <c r="BG66" s="310"/>
      <c r="BH66" s="310"/>
      <c r="BI66" s="310"/>
      <c r="BJ66" s="310"/>
      <c r="BK66" s="310"/>
      <c r="BL66" s="310"/>
      <c r="BM66" s="310"/>
      <c r="BN66" s="310"/>
      <c r="BO66" s="310"/>
      <c r="BP66" s="310"/>
      <c r="BQ66" s="310"/>
      <c r="BR66" s="310"/>
      <c r="BS66" s="310"/>
      <c r="BT66" s="310"/>
      <c r="BU66" s="310"/>
    </row>
    <row r="67" spans="1:73" s="314" customFormat="1" ht="11.25" x14ac:dyDescent="0.2">
      <c r="A67" s="310"/>
      <c r="B67" s="310"/>
      <c r="C67" s="310"/>
      <c r="D67" s="310"/>
      <c r="E67" s="310"/>
      <c r="F67" s="310"/>
      <c r="G67" s="310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0"/>
      <c r="S67" s="310"/>
      <c r="T67" s="310"/>
      <c r="U67" s="310"/>
      <c r="V67" s="310"/>
      <c r="W67" s="310"/>
      <c r="X67" s="310"/>
      <c r="Y67" s="310"/>
      <c r="Z67" s="310"/>
      <c r="AA67" s="310"/>
      <c r="AB67" s="310"/>
      <c r="AC67" s="310"/>
      <c r="AD67" s="310"/>
      <c r="AE67" s="310"/>
      <c r="AF67" s="310"/>
      <c r="AG67" s="310"/>
      <c r="AH67" s="310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10"/>
      <c r="AT67" s="310"/>
      <c r="AU67" s="310"/>
      <c r="AV67" s="310"/>
      <c r="AW67" s="310"/>
      <c r="AX67" s="310"/>
      <c r="AY67" s="310"/>
      <c r="AZ67" s="310"/>
      <c r="BA67" s="310"/>
      <c r="BB67" s="310"/>
      <c r="BC67" s="310"/>
      <c r="BD67" s="310"/>
      <c r="BE67" s="310"/>
      <c r="BF67" s="310"/>
      <c r="BG67" s="310"/>
      <c r="BH67" s="310"/>
      <c r="BI67" s="310"/>
      <c r="BJ67" s="310"/>
      <c r="BK67" s="310"/>
      <c r="BL67" s="310"/>
      <c r="BM67" s="310"/>
      <c r="BN67" s="310"/>
      <c r="BO67" s="310"/>
      <c r="BP67" s="310"/>
      <c r="BQ67" s="310"/>
      <c r="BR67" s="310"/>
      <c r="BS67" s="310"/>
      <c r="BT67" s="310"/>
      <c r="BU67" s="310"/>
    </row>
    <row r="68" spans="1:73" s="314" customFormat="1" ht="11.25" x14ac:dyDescent="0.2">
      <c r="A68" s="310"/>
      <c r="B68" s="310"/>
      <c r="C68" s="310"/>
      <c r="D68" s="310"/>
      <c r="E68" s="310"/>
      <c r="F68" s="310"/>
      <c r="G68" s="310"/>
      <c r="H68" s="310"/>
      <c r="I68" s="310"/>
      <c r="J68" s="310"/>
      <c r="K68" s="310"/>
      <c r="L68" s="310"/>
      <c r="M68" s="310"/>
      <c r="N68" s="310"/>
      <c r="O68" s="310"/>
      <c r="P68" s="310"/>
      <c r="Q68" s="310"/>
      <c r="R68" s="310"/>
      <c r="S68" s="310"/>
      <c r="T68" s="310"/>
      <c r="U68" s="310"/>
      <c r="V68" s="310"/>
      <c r="W68" s="310"/>
      <c r="X68" s="310"/>
      <c r="Y68" s="310"/>
      <c r="Z68" s="310"/>
      <c r="AA68" s="310"/>
      <c r="AB68" s="310"/>
      <c r="AC68" s="310"/>
      <c r="AD68" s="310"/>
      <c r="AE68" s="310"/>
      <c r="AF68" s="310"/>
      <c r="AG68" s="310"/>
      <c r="AH68" s="310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10"/>
      <c r="AT68" s="310"/>
      <c r="AU68" s="310"/>
      <c r="AV68" s="310"/>
      <c r="AW68" s="310"/>
      <c r="AX68" s="310"/>
      <c r="AY68" s="310"/>
      <c r="AZ68" s="310"/>
      <c r="BA68" s="310"/>
      <c r="BB68" s="310"/>
      <c r="BC68" s="310"/>
      <c r="BD68" s="310"/>
      <c r="BE68" s="310"/>
      <c r="BF68" s="310"/>
      <c r="BG68" s="310"/>
      <c r="BH68" s="310"/>
      <c r="BI68" s="310"/>
      <c r="BJ68" s="310"/>
      <c r="BK68" s="310"/>
      <c r="BL68" s="310"/>
      <c r="BM68" s="310"/>
      <c r="BN68" s="310"/>
      <c r="BO68" s="310"/>
      <c r="BP68" s="310"/>
      <c r="BQ68" s="310"/>
      <c r="BR68" s="310"/>
      <c r="BS68" s="310"/>
      <c r="BT68" s="310"/>
      <c r="BU68" s="310"/>
    </row>
    <row r="69" spans="1:73" s="314" customFormat="1" ht="11.25" x14ac:dyDescent="0.2">
      <c r="A69" s="310"/>
      <c r="B69" s="310"/>
      <c r="C69" s="310"/>
      <c r="D69" s="310"/>
      <c r="E69" s="310"/>
      <c r="F69" s="310"/>
      <c r="G69" s="310"/>
      <c r="H69" s="310"/>
      <c r="I69" s="310"/>
      <c r="J69" s="310"/>
      <c r="K69" s="310"/>
      <c r="L69" s="310"/>
      <c r="M69" s="310"/>
      <c r="N69" s="310"/>
      <c r="O69" s="310"/>
      <c r="P69" s="310"/>
      <c r="Q69" s="310"/>
      <c r="R69" s="310"/>
      <c r="S69" s="310"/>
      <c r="T69" s="310"/>
      <c r="U69" s="310"/>
      <c r="V69" s="310"/>
      <c r="W69" s="310"/>
      <c r="X69" s="310"/>
      <c r="Y69" s="310"/>
      <c r="Z69" s="310"/>
      <c r="AA69" s="310"/>
      <c r="AB69" s="310"/>
      <c r="AC69" s="310"/>
      <c r="AD69" s="310"/>
      <c r="AE69" s="310"/>
      <c r="AF69" s="310"/>
      <c r="AG69" s="310"/>
      <c r="AH69" s="310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10"/>
      <c r="AT69" s="310"/>
      <c r="AU69" s="310"/>
      <c r="AV69" s="310"/>
      <c r="AW69" s="310"/>
      <c r="AX69" s="310"/>
      <c r="AY69" s="310"/>
      <c r="AZ69" s="310"/>
      <c r="BA69" s="310"/>
      <c r="BB69" s="310"/>
      <c r="BC69" s="310"/>
      <c r="BD69" s="310"/>
      <c r="BE69" s="310"/>
      <c r="BF69" s="310"/>
      <c r="BG69" s="310"/>
      <c r="BH69" s="310"/>
      <c r="BI69" s="310"/>
      <c r="BJ69" s="310"/>
      <c r="BK69" s="310"/>
      <c r="BL69" s="310"/>
      <c r="BM69" s="310"/>
      <c r="BN69" s="310"/>
      <c r="BO69" s="310"/>
      <c r="BP69" s="310"/>
      <c r="BQ69" s="310"/>
      <c r="BR69" s="310"/>
      <c r="BS69" s="310"/>
      <c r="BT69" s="310"/>
      <c r="BU69" s="310"/>
    </row>
    <row r="70" spans="1:73" s="314" customFormat="1" ht="11.25" x14ac:dyDescent="0.2">
      <c r="A70" s="310"/>
      <c r="B70" s="310"/>
      <c r="C70" s="310"/>
      <c r="D70" s="310"/>
      <c r="E70" s="310"/>
      <c r="F70" s="310"/>
      <c r="G70" s="310"/>
      <c r="H70" s="310"/>
      <c r="I70" s="310"/>
      <c r="J70" s="310"/>
      <c r="K70" s="310"/>
      <c r="L70" s="310"/>
      <c r="M70" s="310"/>
      <c r="N70" s="310"/>
      <c r="O70" s="310"/>
      <c r="P70" s="310"/>
      <c r="Q70" s="310"/>
      <c r="R70" s="310"/>
      <c r="S70" s="310"/>
      <c r="T70" s="310"/>
      <c r="U70" s="310"/>
      <c r="V70" s="310"/>
      <c r="W70" s="310"/>
      <c r="X70" s="310"/>
      <c r="Y70" s="310"/>
      <c r="Z70" s="310"/>
      <c r="AA70" s="310"/>
      <c r="AB70" s="310"/>
      <c r="AC70" s="310"/>
      <c r="AD70" s="310"/>
      <c r="AE70" s="310"/>
      <c r="AF70" s="310"/>
      <c r="AG70" s="310"/>
      <c r="AH70" s="310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10"/>
      <c r="AT70" s="310"/>
      <c r="AU70" s="310"/>
      <c r="AV70" s="310"/>
      <c r="AW70" s="310"/>
      <c r="AX70" s="310"/>
      <c r="AY70" s="310"/>
      <c r="AZ70" s="310"/>
      <c r="BA70" s="310"/>
      <c r="BB70" s="310"/>
      <c r="BC70" s="310"/>
      <c r="BD70" s="310"/>
      <c r="BE70" s="310"/>
      <c r="BF70" s="310"/>
      <c r="BG70" s="310"/>
      <c r="BH70" s="310"/>
      <c r="BI70" s="310"/>
      <c r="BJ70" s="310"/>
      <c r="BK70" s="310"/>
      <c r="BL70" s="310"/>
      <c r="BM70" s="310"/>
      <c r="BN70" s="310"/>
      <c r="BO70" s="310"/>
      <c r="BP70" s="310"/>
      <c r="BQ70" s="310"/>
      <c r="BR70" s="310"/>
      <c r="BS70" s="310"/>
      <c r="BT70" s="310"/>
      <c r="BU70" s="310"/>
    </row>
    <row r="71" spans="1:73" s="314" customFormat="1" ht="11.25" x14ac:dyDescent="0.2">
      <c r="A71" s="310"/>
      <c r="B71" s="310"/>
      <c r="C71" s="310"/>
      <c r="D71" s="310"/>
      <c r="E71" s="310"/>
      <c r="F71" s="310"/>
      <c r="G71" s="310"/>
      <c r="H71" s="310"/>
      <c r="I71" s="310"/>
      <c r="J71" s="310"/>
      <c r="K71" s="310"/>
      <c r="L71" s="310"/>
      <c r="M71" s="310"/>
      <c r="N71" s="310"/>
      <c r="O71" s="310"/>
      <c r="P71" s="310"/>
      <c r="Q71" s="310"/>
      <c r="R71" s="310"/>
      <c r="S71" s="310"/>
      <c r="T71" s="310"/>
      <c r="U71" s="310"/>
      <c r="V71" s="310"/>
      <c r="W71" s="310"/>
      <c r="X71" s="310"/>
      <c r="Y71" s="310"/>
      <c r="Z71" s="310"/>
      <c r="AA71" s="310"/>
      <c r="AB71" s="310"/>
      <c r="AC71" s="310"/>
      <c r="AD71" s="310"/>
      <c r="AE71" s="310"/>
      <c r="AF71" s="310"/>
      <c r="AG71" s="310"/>
      <c r="AH71" s="310"/>
      <c r="AI71" s="310"/>
      <c r="AJ71" s="310"/>
      <c r="AK71" s="310"/>
      <c r="AL71" s="310"/>
      <c r="AM71" s="310"/>
      <c r="AN71" s="310"/>
      <c r="AO71" s="310"/>
      <c r="AP71" s="310"/>
      <c r="AQ71" s="310"/>
      <c r="AR71" s="310"/>
      <c r="AS71" s="310"/>
      <c r="AT71" s="310"/>
      <c r="AU71" s="310"/>
      <c r="AV71" s="310"/>
      <c r="AW71" s="310"/>
      <c r="AX71" s="310"/>
      <c r="AY71" s="310"/>
      <c r="AZ71" s="310"/>
      <c r="BA71" s="310"/>
      <c r="BB71" s="310"/>
      <c r="BC71" s="310"/>
      <c r="BD71" s="310"/>
      <c r="BE71" s="310"/>
      <c r="BF71" s="310"/>
      <c r="BG71" s="310"/>
      <c r="BH71" s="310"/>
      <c r="BI71" s="310"/>
      <c r="BJ71" s="310"/>
      <c r="BK71" s="310"/>
      <c r="BL71" s="310"/>
      <c r="BM71" s="310"/>
      <c r="BN71" s="310"/>
      <c r="BO71" s="310"/>
      <c r="BP71" s="310"/>
      <c r="BQ71" s="310"/>
      <c r="BR71" s="310"/>
      <c r="BS71" s="310"/>
      <c r="BT71" s="310"/>
      <c r="BU71" s="310"/>
    </row>
    <row r="72" spans="1:73" s="314" customFormat="1" ht="11.25" x14ac:dyDescent="0.2">
      <c r="A72" s="310"/>
      <c r="B72" s="310"/>
      <c r="C72" s="310"/>
      <c r="D72" s="310"/>
      <c r="E72" s="310"/>
      <c r="F72" s="310"/>
      <c r="G72" s="310"/>
      <c r="H72" s="310"/>
      <c r="I72" s="310"/>
      <c r="J72" s="310"/>
      <c r="K72" s="310"/>
      <c r="L72" s="310"/>
      <c r="M72" s="310"/>
      <c r="N72" s="310"/>
      <c r="O72" s="310"/>
      <c r="P72" s="310"/>
      <c r="Q72" s="310"/>
      <c r="R72" s="310"/>
      <c r="S72" s="310"/>
      <c r="T72" s="310"/>
      <c r="U72" s="310"/>
      <c r="V72" s="310"/>
      <c r="W72" s="310"/>
      <c r="X72" s="310"/>
      <c r="Y72" s="310"/>
      <c r="Z72" s="310"/>
      <c r="AA72" s="310"/>
      <c r="AB72" s="310"/>
      <c r="AC72" s="310"/>
      <c r="AD72" s="310"/>
      <c r="AE72" s="310"/>
      <c r="AF72" s="310"/>
      <c r="AG72" s="310"/>
      <c r="AH72" s="310"/>
      <c r="AI72" s="310"/>
      <c r="AJ72" s="310"/>
      <c r="AK72" s="310"/>
      <c r="AL72" s="310"/>
      <c r="AM72" s="310"/>
      <c r="AN72" s="310"/>
      <c r="AO72" s="310"/>
      <c r="AP72" s="310"/>
      <c r="AQ72" s="310"/>
      <c r="AR72" s="310"/>
      <c r="AS72" s="310"/>
      <c r="AT72" s="310"/>
      <c r="AU72" s="310"/>
      <c r="AV72" s="310"/>
      <c r="AW72" s="310"/>
      <c r="AX72" s="310"/>
      <c r="AY72" s="310"/>
      <c r="AZ72" s="310"/>
      <c r="BA72" s="310"/>
      <c r="BB72" s="310"/>
      <c r="BC72" s="310"/>
      <c r="BD72" s="310"/>
      <c r="BE72" s="310"/>
      <c r="BF72" s="310"/>
      <c r="BG72" s="310"/>
      <c r="BH72" s="310"/>
      <c r="BI72" s="310"/>
      <c r="BJ72" s="310"/>
      <c r="BK72" s="310"/>
      <c r="BL72" s="310"/>
      <c r="BM72" s="310"/>
      <c r="BN72" s="310"/>
      <c r="BO72" s="310"/>
      <c r="BP72" s="310"/>
      <c r="BQ72" s="310"/>
      <c r="BR72" s="310"/>
      <c r="BS72" s="310"/>
      <c r="BT72" s="310"/>
      <c r="BU72" s="310"/>
    </row>
    <row r="73" spans="1:73" s="314" customFormat="1" ht="11.25" x14ac:dyDescent="0.2">
      <c r="A73" s="310"/>
      <c r="B73" s="310"/>
      <c r="C73" s="310"/>
      <c r="D73" s="310"/>
      <c r="E73" s="310"/>
      <c r="F73" s="310"/>
      <c r="G73" s="310"/>
      <c r="H73" s="310"/>
      <c r="I73" s="310"/>
      <c r="J73" s="310"/>
      <c r="K73" s="310"/>
      <c r="L73" s="310"/>
      <c r="M73" s="310"/>
      <c r="N73" s="310"/>
      <c r="O73" s="310"/>
      <c r="P73" s="310"/>
      <c r="Q73" s="310"/>
      <c r="R73" s="310"/>
      <c r="S73" s="310"/>
      <c r="T73" s="310"/>
      <c r="U73" s="310"/>
      <c r="V73" s="310"/>
      <c r="W73" s="310"/>
      <c r="X73" s="310"/>
      <c r="Y73" s="310"/>
      <c r="Z73" s="310"/>
      <c r="AA73" s="310"/>
      <c r="AB73" s="310"/>
      <c r="AC73" s="310"/>
      <c r="AD73" s="310"/>
      <c r="AE73" s="310"/>
      <c r="AF73" s="310"/>
      <c r="AG73" s="310"/>
      <c r="AH73" s="310"/>
      <c r="AI73" s="310"/>
      <c r="AJ73" s="310"/>
      <c r="AK73" s="310"/>
      <c r="AL73" s="310"/>
      <c r="AM73" s="310"/>
      <c r="AN73" s="310"/>
      <c r="AO73" s="310"/>
      <c r="AP73" s="310"/>
      <c r="AQ73" s="310"/>
      <c r="AR73" s="310"/>
      <c r="AS73" s="310"/>
      <c r="AT73" s="310"/>
      <c r="AU73" s="310"/>
      <c r="AV73" s="310"/>
      <c r="AW73" s="310"/>
      <c r="AX73" s="310"/>
      <c r="AY73" s="310"/>
      <c r="AZ73" s="310"/>
      <c r="BA73" s="310"/>
      <c r="BB73" s="310"/>
      <c r="BC73" s="310"/>
      <c r="BD73" s="310"/>
      <c r="BE73" s="310"/>
      <c r="BF73" s="310"/>
      <c r="BG73" s="310"/>
      <c r="BH73" s="310"/>
      <c r="BI73" s="310"/>
      <c r="BJ73" s="310"/>
      <c r="BK73" s="310"/>
      <c r="BL73" s="310"/>
      <c r="BM73" s="310"/>
      <c r="BN73" s="310"/>
      <c r="BO73" s="310"/>
      <c r="BP73" s="310"/>
      <c r="BQ73" s="310"/>
      <c r="BR73" s="310"/>
      <c r="BS73" s="310"/>
      <c r="BT73" s="310"/>
      <c r="BU73" s="310"/>
    </row>
    <row r="74" spans="1:73" s="314" customFormat="1" ht="11.25" x14ac:dyDescent="0.2">
      <c r="A74" s="310"/>
      <c r="B74" s="310"/>
      <c r="C74" s="310"/>
      <c r="D74" s="310"/>
      <c r="E74" s="310"/>
      <c r="F74" s="310"/>
      <c r="G74" s="310"/>
      <c r="H74" s="310"/>
      <c r="I74" s="310"/>
      <c r="J74" s="310"/>
      <c r="K74" s="310"/>
      <c r="L74" s="310"/>
      <c r="M74" s="310"/>
      <c r="N74" s="310"/>
      <c r="O74" s="310"/>
      <c r="P74" s="310"/>
      <c r="Q74" s="310"/>
      <c r="R74" s="310"/>
      <c r="S74" s="310"/>
      <c r="T74" s="310"/>
      <c r="U74" s="310"/>
      <c r="V74" s="310"/>
      <c r="W74" s="310"/>
      <c r="X74" s="310"/>
      <c r="Y74" s="310"/>
      <c r="Z74" s="310"/>
      <c r="AA74" s="310"/>
      <c r="AB74" s="310"/>
      <c r="AC74" s="310"/>
      <c r="AD74" s="310"/>
      <c r="AE74" s="310"/>
      <c r="AF74" s="310"/>
      <c r="AG74" s="310"/>
      <c r="AH74" s="310"/>
      <c r="AI74" s="310"/>
      <c r="AJ74" s="310"/>
      <c r="AK74" s="310"/>
      <c r="AL74" s="310"/>
      <c r="AM74" s="310"/>
      <c r="AN74" s="310"/>
      <c r="AO74" s="310"/>
      <c r="AP74" s="310"/>
      <c r="AQ74" s="310"/>
      <c r="AR74" s="310"/>
      <c r="AS74" s="310"/>
      <c r="AT74" s="310"/>
      <c r="AU74" s="310"/>
      <c r="AV74" s="310"/>
      <c r="AW74" s="310"/>
      <c r="AX74" s="310"/>
      <c r="AY74" s="310"/>
      <c r="AZ74" s="310"/>
      <c r="BA74" s="310"/>
      <c r="BB74" s="310"/>
      <c r="BC74" s="310"/>
      <c r="BD74" s="310"/>
      <c r="BE74" s="310"/>
      <c r="BF74" s="310"/>
      <c r="BG74" s="310"/>
      <c r="BH74" s="310"/>
      <c r="BI74" s="310"/>
      <c r="BJ74" s="310"/>
      <c r="BK74" s="310"/>
      <c r="BL74" s="310"/>
      <c r="BM74" s="310"/>
      <c r="BN74" s="310"/>
      <c r="BO74" s="310"/>
      <c r="BP74" s="310"/>
      <c r="BQ74" s="310"/>
      <c r="BR74" s="310"/>
      <c r="BS74" s="310"/>
      <c r="BT74" s="310"/>
      <c r="BU74" s="310"/>
    </row>
    <row r="75" spans="1:73" s="314" customFormat="1" ht="11.25" x14ac:dyDescent="0.2">
      <c r="A75" s="310"/>
      <c r="B75" s="310"/>
      <c r="C75" s="310"/>
      <c r="D75" s="310"/>
      <c r="E75" s="310"/>
      <c r="F75" s="310"/>
      <c r="G75" s="310"/>
      <c r="H75" s="310"/>
      <c r="I75" s="310"/>
      <c r="J75" s="310"/>
      <c r="K75" s="310"/>
      <c r="L75" s="310"/>
      <c r="M75" s="310"/>
      <c r="N75" s="310"/>
      <c r="O75" s="310"/>
      <c r="P75" s="310"/>
      <c r="Q75" s="310"/>
      <c r="R75" s="310"/>
      <c r="S75" s="310"/>
      <c r="T75" s="310"/>
      <c r="U75" s="310"/>
      <c r="V75" s="310"/>
      <c r="W75" s="310"/>
      <c r="X75" s="310"/>
      <c r="Y75" s="310"/>
      <c r="Z75" s="310"/>
      <c r="AA75" s="310"/>
      <c r="AB75" s="310"/>
      <c r="AC75" s="310"/>
      <c r="AD75" s="310"/>
      <c r="AE75" s="310"/>
      <c r="AF75" s="310"/>
      <c r="AG75" s="310"/>
      <c r="AH75" s="310"/>
      <c r="AI75" s="310"/>
      <c r="AJ75" s="310"/>
      <c r="AK75" s="310"/>
      <c r="AL75" s="310"/>
      <c r="AM75" s="310"/>
      <c r="AN75" s="310"/>
      <c r="AO75" s="310"/>
      <c r="AP75" s="310"/>
      <c r="AQ75" s="310"/>
      <c r="AR75" s="310"/>
      <c r="AS75" s="310"/>
      <c r="AT75" s="310"/>
      <c r="AU75" s="310"/>
      <c r="AV75" s="310"/>
      <c r="AW75" s="310"/>
      <c r="AX75" s="310"/>
      <c r="AY75" s="310"/>
      <c r="AZ75" s="310"/>
      <c r="BA75" s="310"/>
      <c r="BB75" s="310"/>
      <c r="BC75" s="310"/>
      <c r="BD75" s="310"/>
      <c r="BE75" s="310"/>
      <c r="BF75" s="310"/>
      <c r="BG75" s="310"/>
      <c r="BH75" s="310"/>
      <c r="BI75" s="310"/>
      <c r="BJ75" s="310"/>
      <c r="BK75" s="310"/>
      <c r="BL75" s="310"/>
      <c r="BM75" s="310"/>
      <c r="BN75" s="310"/>
      <c r="BO75" s="310"/>
      <c r="BP75" s="310"/>
      <c r="BQ75" s="310"/>
      <c r="BR75" s="310"/>
      <c r="BS75" s="310"/>
      <c r="BT75" s="310"/>
      <c r="BU75" s="310"/>
    </row>
    <row r="76" spans="1:73" s="314" customFormat="1" ht="11.25" x14ac:dyDescent="0.2">
      <c r="A76" s="310"/>
      <c r="B76" s="310"/>
      <c r="C76" s="310"/>
      <c r="D76" s="310"/>
      <c r="E76" s="310"/>
      <c r="F76" s="310"/>
      <c r="G76" s="310"/>
      <c r="H76" s="310"/>
      <c r="I76" s="310"/>
      <c r="J76" s="310"/>
      <c r="K76" s="310"/>
      <c r="L76" s="310"/>
      <c r="M76" s="310"/>
      <c r="N76" s="310"/>
      <c r="O76" s="310"/>
      <c r="P76" s="310"/>
      <c r="Q76" s="310"/>
      <c r="R76" s="310"/>
      <c r="S76" s="310"/>
      <c r="T76" s="310"/>
      <c r="U76" s="310"/>
      <c r="V76" s="310"/>
      <c r="W76" s="310"/>
      <c r="X76" s="310"/>
      <c r="Y76" s="310"/>
      <c r="Z76" s="310"/>
      <c r="AA76" s="310"/>
      <c r="AB76" s="310"/>
      <c r="AC76" s="310"/>
      <c r="AD76" s="310"/>
      <c r="AE76" s="310"/>
      <c r="AF76" s="310"/>
      <c r="AG76" s="310"/>
      <c r="AH76" s="310"/>
      <c r="AI76" s="310"/>
      <c r="AJ76" s="310"/>
      <c r="AK76" s="310"/>
      <c r="AL76" s="310"/>
      <c r="AM76" s="310"/>
      <c r="AN76" s="310"/>
      <c r="AO76" s="310"/>
      <c r="AP76" s="310"/>
      <c r="AQ76" s="310"/>
      <c r="AR76" s="310"/>
      <c r="AS76" s="310"/>
      <c r="AT76" s="310"/>
      <c r="AU76" s="310"/>
      <c r="AV76" s="310"/>
      <c r="AW76" s="310"/>
      <c r="AX76" s="310"/>
      <c r="AY76" s="310"/>
      <c r="AZ76" s="310"/>
      <c r="BA76" s="310"/>
      <c r="BB76" s="310"/>
      <c r="BC76" s="310"/>
      <c r="BD76" s="310"/>
      <c r="BE76" s="310"/>
      <c r="BF76" s="310"/>
      <c r="BG76" s="310"/>
      <c r="BH76" s="310"/>
      <c r="BI76" s="310"/>
      <c r="BJ76" s="310"/>
      <c r="BK76" s="310"/>
      <c r="BL76" s="310"/>
      <c r="BM76" s="310"/>
      <c r="BN76" s="310"/>
      <c r="BO76" s="310"/>
      <c r="BP76" s="310"/>
      <c r="BQ76" s="310"/>
      <c r="BR76" s="310"/>
      <c r="BS76" s="310"/>
      <c r="BT76" s="310"/>
      <c r="BU76" s="310"/>
    </row>
    <row r="77" spans="1:73" s="314" customFormat="1" ht="11.25" x14ac:dyDescent="0.2">
      <c r="A77" s="310"/>
      <c r="B77" s="310"/>
      <c r="C77" s="310"/>
      <c r="D77" s="310"/>
      <c r="E77" s="310"/>
      <c r="F77" s="310"/>
      <c r="G77" s="310"/>
      <c r="H77" s="310"/>
      <c r="I77" s="310"/>
      <c r="J77" s="310"/>
      <c r="K77" s="310"/>
      <c r="L77" s="310"/>
      <c r="M77" s="310"/>
      <c r="N77" s="310"/>
      <c r="O77" s="310"/>
      <c r="P77" s="310"/>
      <c r="Q77" s="310"/>
      <c r="R77" s="310"/>
      <c r="S77" s="310"/>
      <c r="T77" s="310"/>
      <c r="U77" s="310"/>
      <c r="V77" s="310"/>
      <c r="W77" s="310"/>
      <c r="X77" s="310"/>
      <c r="Y77" s="310"/>
      <c r="Z77" s="310"/>
      <c r="AA77" s="310"/>
      <c r="AB77" s="310"/>
      <c r="AC77" s="310"/>
      <c r="AD77" s="310"/>
      <c r="AE77" s="310"/>
      <c r="AF77" s="310"/>
      <c r="AG77" s="310"/>
      <c r="AH77" s="310"/>
      <c r="AI77" s="310"/>
      <c r="AJ77" s="310"/>
      <c r="AK77" s="310"/>
      <c r="AL77" s="310"/>
      <c r="AM77" s="310"/>
      <c r="AN77" s="310"/>
      <c r="AO77" s="310"/>
      <c r="AP77" s="310"/>
      <c r="AQ77" s="310"/>
      <c r="AR77" s="310"/>
      <c r="AS77" s="310"/>
      <c r="AT77" s="310"/>
      <c r="AU77" s="310"/>
      <c r="AV77" s="310"/>
      <c r="AW77" s="310"/>
      <c r="AX77" s="310"/>
      <c r="AY77" s="310"/>
      <c r="AZ77" s="310"/>
      <c r="BA77" s="310"/>
      <c r="BB77" s="310"/>
      <c r="BC77" s="310"/>
      <c r="BD77" s="310"/>
      <c r="BE77" s="310"/>
      <c r="BF77" s="310"/>
      <c r="BG77" s="310"/>
      <c r="BH77" s="310"/>
      <c r="BI77" s="310"/>
      <c r="BJ77" s="310"/>
      <c r="BK77" s="310"/>
      <c r="BL77" s="310"/>
      <c r="BM77" s="310"/>
      <c r="BN77" s="310"/>
      <c r="BO77" s="310"/>
      <c r="BP77" s="310"/>
      <c r="BQ77" s="310"/>
      <c r="BR77" s="310"/>
      <c r="BS77" s="310"/>
      <c r="BT77" s="310"/>
      <c r="BU77" s="310"/>
    </row>
  </sheetData>
  <mergeCells count="44">
    <mergeCell ref="BP7:BQ7"/>
    <mergeCell ref="BR7:BS7"/>
    <mergeCell ref="CJ7:CK7"/>
    <mergeCell ref="BV7:BW7"/>
    <mergeCell ref="BX7:BY7"/>
    <mergeCell ref="BZ7:CA7"/>
    <mergeCell ref="CB7:CC7"/>
    <mergeCell ref="CH7:CI7"/>
    <mergeCell ref="CF7:CG7"/>
    <mergeCell ref="CD7:CE7"/>
    <mergeCell ref="BT7:BU7"/>
    <mergeCell ref="BH7:BI7"/>
    <mergeCell ref="AL7:AM7"/>
    <mergeCell ref="AN7:AO7"/>
    <mergeCell ref="AP7:AQ7"/>
    <mergeCell ref="AR7:AS7"/>
    <mergeCell ref="AT7:AU7"/>
    <mergeCell ref="AV7:AW7"/>
    <mergeCell ref="AX7:AY7"/>
    <mergeCell ref="AZ7:BA7"/>
    <mergeCell ref="BB7:BC7"/>
    <mergeCell ref="BD7:BE7"/>
    <mergeCell ref="BF7:BG7"/>
    <mergeCell ref="BJ7:BK7"/>
    <mergeCell ref="BL7:BM7"/>
    <mergeCell ref="BN7:BO7"/>
    <mergeCell ref="L7:M7"/>
    <mergeCell ref="B7:C7"/>
    <mergeCell ref="D7:E7"/>
    <mergeCell ref="F7:G7"/>
    <mergeCell ref="H7:I7"/>
    <mergeCell ref="J7:K7"/>
    <mergeCell ref="AJ7:AK7"/>
    <mergeCell ref="N7:O7"/>
    <mergeCell ref="P7:Q7"/>
    <mergeCell ref="R7:S7"/>
    <mergeCell ref="T7:U7"/>
    <mergeCell ref="V7:W7"/>
    <mergeCell ref="X7:Y7"/>
    <mergeCell ref="Z7:AA7"/>
    <mergeCell ref="AB7:AC7"/>
    <mergeCell ref="AD7:AE7"/>
    <mergeCell ref="AF7:AG7"/>
    <mergeCell ref="AH7:AI7"/>
  </mergeCells>
  <hyperlinks>
    <hyperlink ref="CK6" location="Índex!E9" display="Índex"/>
  </hyperlinks>
  <printOptions horizontalCentered="1" gridLinesSet="0"/>
  <pageMargins left="0" right="0" top="0.39370078740157483" bottom="0" header="0" footer="0"/>
  <pageSetup paperSize="9" scale="90" orientation="landscape" r:id="rId1"/>
  <headerFooter alignWithMargins="0">
    <oddHeader>&amp;R&amp;P/&amp;N</oddHeader>
  </headerFooter>
  <colBreaks count="5" manualBreakCount="5">
    <brk id="17" max="22" man="1"/>
    <brk id="33" max="22" man="1"/>
    <brk id="49" max="22" man="1"/>
    <brk id="65" max="22" man="1"/>
    <brk id="96" max="23" man="1"/>
  </colBreaks>
  <ignoredErrors>
    <ignoredError sqref="Q22" formula="1"/>
  </ignoredError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7"/>
  <dimension ref="A1:DP87"/>
  <sheetViews>
    <sheetView showGridLines="0" zoomScaleNormal="100" workbookViewId="0">
      <pane xSplit="1" ySplit="9" topLeftCell="AG10" activePane="bottomRight" state="frozen"/>
      <selection activeCell="E9" sqref="E9"/>
      <selection pane="topRight" activeCell="E9" sqref="E9"/>
      <selection pane="bottomLeft" activeCell="E9" sqref="E9"/>
      <selection pane="bottomRight" activeCell="AO6" sqref="AO6"/>
    </sheetView>
  </sheetViews>
  <sheetFormatPr defaultColWidth="12.5703125" defaultRowHeight="12.75" x14ac:dyDescent="0.2"/>
  <cols>
    <col min="1" max="1" width="53.140625" style="26" bestFit="1" customWidth="1"/>
    <col min="2" max="37" width="10.7109375" style="26" customWidth="1"/>
    <col min="38" max="41" width="10.7109375" style="17" customWidth="1"/>
    <col min="42" max="16384" width="12.5703125" style="17"/>
  </cols>
  <sheetData>
    <row r="1" spans="1:120" s="25" customFormat="1" ht="15" customHeight="1" x14ac:dyDescent="0.2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2"/>
      <c r="AW1" s="62"/>
      <c r="AX1" s="62"/>
      <c r="AY1" s="62"/>
      <c r="AZ1" s="62"/>
      <c r="BA1" s="62"/>
      <c r="BB1" s="62"/>
      <c r="BC1" s="62"/>
      <c r="BD1" s="62"/>
      <c r="BE1" s="62"/>
      <c r="BF1" s="62"/>
      <c r="BG1" s="62"/>
      <c r="BH1" s="62"/>
      <c r="BI1" s="56"/>
      <c r="BJ1" s="56"/>
      <c r="BK1" s="56"/>
      <c r="BL1" s="56"/>
      <c r="BM1" s="56"/>
      <c r="BN1" s="56"/>
      <c r="BO1" s="56"/>
      <c r="BP1" s="56"/>
      <c r="BQ1" s="56"/>
      <c r="BR1" s="56"/>
      <c r="BS1" s="56"/>
      <c r="BT1" s="56"/>
    </row>
    <row r="2" spans="1:120" s="25" customFormat="1" ht="15" customHeight="1" x14ac:dyDescent="0.25">
      <c r="A2" s="56"/>
      <c r="B2" s="199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  <c r="BM2" s="56"/>
      <c r="BN2" s="56"/>
      <c r="BO2" s="56"/>
      <c r="BP2" s="56"/>
      <c r="BQ2" s="56"/>
      <c r="BR2" s="56"/>
      <c r="BS2" s="56"/>
      <c r="BT2" s="56"/>
    </row>
    <row r="3" spans="1:120" s="25" customFormat="1" ht="15" customHeight="1" x14ac:dyDescent="0.25">
      <c r="A3" s="57"/>
      <c r="B3" s="57"/>
      <c r="C3" s="61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7"/>
      <c r="BT3" s="57"/>
    </row>
    <row r="4" spans="1:120" s="25" customFormat="1" ht="15" customHeight="1" x14ac:dyDescent="0.2">
      <c r="A4" s="58" t="s">
        <v>1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</row>
    <row r="5" spans="1:120" s="25" customFormat="1" ht="15" customHeight="1" thickBot="1" x14ac:dyDescent="0.35">
      <c r="A5" s="190" t="s">
        <v>459</v>
      </c>
      <c r="B5" s="61"/>
      <c r="C5" s="59"/>
      <c r="D5" s="61"/>
      <c r="E5" s="59"/>
      <c r="F5" s="114"/>
      <c r="G5" s="59"/>
      <c r="H5" s="112"/>
      <c r="I5" s="59"/>
      <c r="J5" s="59"/>
      <c r="K5" s="59"/>
      <c r="L5" s="59"/>
      <c r="M5" s="59"/>
      <c r="N5" s="59"/>
      <c r="O5" s="59"/>
      <c r="P5" s="59"/>
      <c r="Q5" s="59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59"/>
      <c r="BQ5" s="59"/>
      <c r="BR5" s="59"/>
      <c r="BS5" s="59"/>
      <c r="BT5" s="59"/>
      <c r="BV5" s="114"/>
      <c r="BZ5" s="114"/>
      <c r="CB5" s="134"/>
      <c r="CE5" s="65"/>
      <c r="CF5" s="136"/>
      <c r="CG5" s="137"/>
      <c r="CH5" s="137"/>
      <c r="CI5" s="135"/>
      <c r="CJ5" s="137"/>
      <c r="CK5" s="137"/>
      <c r="CL5" s="137"/>
      <c r="CM5" s="138"/>
    </row>
    <row r="6" spans="1:120" ht="15" customHeight="1" thickTop="1" x14ac:dyDescent="0.3">
      <c r="A6" s="202"/>
      <c r="C6" s="114"/>
      <c r="D6" s="114"/>
      <c r="E6" s="112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O6" s="400" t="s">
        <v>662</v>
      </c>
    </row>
    <row r="7" spans="1:120" s="183" customFormat="1" ht="15" customHeight="1" x14ac:dyDescent="0.2">
      <c r="A7" s="182"/>
      <c r="B7" s="156" t="s">
        <v>35</v>
      </c>
      <c r="C7" s="156" t="s">
        <v>36</v>
      </c>
      <c r="D7" s="156" t="s">
        <v>321</v>
      </c>
      <c r="E7" s="156" t="s">
        <v>331</v>
      </c>
      <c r="F7" s="156" t="s">
        <v>37</v>
      </c>
      <c r="G7" s="156" t="s">
        <v>38</v>
      </c>
      <c r="H7" s="156" t="s">
        <v>322</v>
      </c>
      <c r="I7" s="156" t="s">
        <v>332</v>
      </c>
      <c r="J7" s="156" t="s">
        <v>39</v>
      </c>
      <c r="K7" s="156" t="s">
        <v>40</v>
      </c>
      <c r="L7" s="156" t="s">
        <v>323</v>
      </c>
      <c r="M7" s="156" t="s">
        <v>333</v>
      </c>
      <c r="N7" s="156" t="s">
        <v>41</v>
      </c>
      <c r="O7" s="156" t="s">
        <v>42</v>
      </c>
      <c r="P7" s="156" t="s">
        <v>324</v>
      </c>
      <c r="Q7" s="156" t="s">
        <v>334</v>
      </c>
      <c r="R7" s="156" t="s">
        <v>43</v>
      </c>
      <c r="S7" s="156" t="s">
        <v>44</v>
      </c>
      <c r="T7" s="156" t="s">
        <v>325</v>
      </c>
      <c r="U7" s="156" t="s">
        <v>335</v>
      </c>
      <c r="V7" s="156" t="s">
        <v>45</v>
      </c>
      <c r="W7" s="156" t="s">
        <v>46</v>
      </c>
      <c r="X7" s="156" t="s">
        <v>326</v>
      </c>
      <c r="Y7" s="156" t="s">
        <v>336</v>
      </c>
      <c r="Z7" s="156" t="s">
        <v>47</v>
      </c>
      <c r="AA7" s="156" t="s">
        <v>48</v>
      </c>
      <c r="AB7" s="156" t="s">
        <v>327</v>
      </c>
      <c r="AC7" s="156" t="s">
        <v>337</v>
      </c>
      <c r="AD7" s="156" t="s">
        <v>49</v>
      </c>
      <c r="AE7" s="156" t="s">
        <v>50</v>
      </c>
      <c r="AF7" s="156" t="s">
        <v>328</v>
      </c>
      <c r="AG7" s="156" t="s">
        <v>338</v>
      </c>
      <c r="AH7" s="156" t="s">
        <v>51</v>
      </c>
      <c r="AI7" s="156" t="s">
        <v>52</v>
      </c>
      <c r="AJ7" s="156" t="s">
        <v>329</v>
      </c>
      <c r="AK7" s="156" t="s">
        <v>339</v>
      </c>
      <c r="AL7" s="156" t="s">
        <v>53</v>
      </c>
      <c r="AM7" s="156" t="s">
        <v>54</v>
      </c>
      <c r="AN7" s="156" t="s">
        <v>330</v>
      </c>
      <c r="AO7" s="156" t="s">
        <v>340</v>
      </c>
    </row>
    <row r="8" spans="1:120" s="178" customFormat="1" ht="9.9499999999999993" customHeight="1" x14ac:dyDescent="0.2">
      <c r="A8" s="184"/>
      <c r="B8" s="158"/>
      <c r="C8" s="158"/>
      <c r="D8" s="158"/>
      <c r="E8" s="158"/>
      <c r="F8" s="158"/>
      <c r="G8" s="158"/>
      <c r="H8" s="158"/>
      <c r="I8" s="158"/>
      <c r="J8" s="158"/>
      <c r="K8" s="158"/>
      <c r="L8" s="158"/>
      <c r="M8" s="158"/>
      <c r="N8" s="158"/>
      <c r="O8" s="158"/>
      <c r="P8" s="158"/>
      <c r="Q8" s="158"/>
      <c r="R8" s="158"/>
      <c r="S8" s="158"/>
      <c r="T8" s="158"/>
      <c r="U8" s="158"/>
      <c r="V8" s="158"/>
      <c r="W8" s="158"/>
      <c r="X8" s="158"/>
      <c r="Y8" s="158"/>
      <c r="Z8" s="158"/>
      <c r="AA8" s="158"/>
      <c r="AB8" s="158"/>
      <c r="AC8" s="158"/>
      <c r="AD8" s="158"/>
      <c r="AE8" s="158"/>
      <c r="AF8" s="158"/>
      <c r="AG8" s="158"/>
      <c r="AH8" s="158"/>
      <c r="AI8" s="158"/>
      <c r="AJ8" s="158"/>
      <c r="AK8" s="158"/>
      <c r="AL8" s="158"/>
      <c r="AM8" s="158"/>
      <c r="AN8" s="158"/>
      <c r="AO8" s="158"/>
      <c r="AP8" s="191"/>
      <c r="AQ8" s="191"/>
      <c r="AR8" s="191"/>
      <c r="AS8" s="191"/>
      <c r="AT8" s="191"/>
      <c r="AU8" s="191"/>
      <c r="AV8" s="191"/>
      <c r="AW8" s="191"/>
      <c r="AX8" s="191"/>
      <c r="AY8" s="191"/>
      <c r="AZ8" s="191"/>
      <c r="BA8" s="191"/>
      <c r="BB8" s="191"/>
      <c r="BC8" s="191"/>
      <c r="BD8" s="191"/>
      <c r="BE8" s="191"/>
      <c r="BF8" s="191"/>
      <c r="BG8" s="191"/>
      <c r="BH8" s="191"/>
      <c r="BI8" s="191"/>
      <c r="BJ8" s="191"/>
      <c r="BK8" s="191"/>
      <c r="BL8" s="191"/>
      <c r="BM8" s="191"/>
      <c r="BN8" s="191"/>
      <c r="BO8" s="191"/>
      <c r="BP8" s="191"/>
      <c r="BQ8" s="191"/>
      <c r="BR8" s="191"/>
      <c r="BS8" s="191"/>
      <c r="BT8" s="191"/>
      <c r="BU8" s="191"/>
      <c r="BV8" s="191"/>
      <c r="BW8" s="191"/>
      <c r="BX8" s="191"/>
      <c r="BY8" s="191"/>
      <c r="BZ8" s="191"/>
      <c r="CA8" s="191"/>
      <c r="CB8" s="191"/>
    </row>
    <row r="9" spans="1:120" s="164" customFormat="1" ht="5.0999999999999996" customHeight="1" x14ac:dyDescent="0.2">
      <c r="A9" s="159"/>
      <c r="B9" s="159"/>
      <c r="C9" s="159"/>
      <c r="D9" s="159"/>
      <c r="E9" s="159"/>
      <c r="F9" s="159"/>
      <c r="G9" s="159"/>
      <c r="H9" s="159"/>
      <c r="I9" s="159"/>
      <c r="J9" s="159"/>
      <c r="K9" s="159"/>
      <c r="L9" s="159"/>
      <c r="M9" s="159"/>
      <c r="N9" s="159"/>
      <c r="O9" s="159"/>
      <c r="P9" s="159"/>
      <c r="Q9" s="159"/>
      <c r="R9" s="159"/>
      <c r="S9" s="159"/>
      <c r="T9" s="159"/>
      <c r="U9" s="159"/>
      <c r="V9" s="159"/>
      <c r="W9" s="159"/>
      <c r="X9" s="159"/>
      <c r="Y9" s="159"/>
      <c r="Z9" s="159"/>
      <c r="AA9" s="159"/>
      <c r="AB9" s="159"/>
      <c r="AC9" s="159"/>
      <c r="AD9" s="159"/>
      <c r="AE9" s="159"/>
      <c r="AF9" s="159"/>
      <c r="AG9" s="159"/>
      <c r="AH9" s="159"/>
      <c r="AI9" s="159"/>
      <c r="AJ9" s="159"/>
      <c r="AK9" s="159"/>
      <c r="AL9" s="159"/>
      <c r="AM9" s="159"/>
      <c r="AN9" s="159"/>
      <c r="AO9" s="159"/>
    </row>
    <row r="10" spans="1:120" s="192" customFormat="1" ht="15" customHeight="1" x14ac:dyDescent="0.2">
      <c r="A10" s="209" t="s">
        <v>344</v>
      </c>
      <c r="B10" s="160">
        <v>967</v>
      </c>
      <c r="C10" s="160">
        <v>993</v>
      </c>
      <c r="D10" s="160">
        <v>926</v>
      </c>
      <c r="E10" s="160">
        <v>901</v>
      </c>
      <c r="F10" s="160">
        <v>913</v>
      </c>
      <c r="G10" s="160">
        <v>851</v>
      </c>
      <c r="H10" s="210">
        <v>906</v>
      </c>
      <c r="I10" s="210">
        <v>941</v>
      </c>
      <c r="J10" s="210">
        <v>1562</v>
      </c>
      <c r="K10" s="210">
        <v>1349</v>
      </c>
      <c r="L10" s="210">
        <v>1162</v>
      </c>
      <c r="M10" s="210">
        <v>1621</v>
      </c>
      <c r="N10" s="211">
        <v>1546</v>
      </c>
      <c r="O10" s="211">
        <v>1249</v>
      </c>
      <c r="P10" s="211">
        <v>960</v>
      </c>
      <c r="Q10" s="211">
        <v>973</v>
      </c>
      <c r="R10" s="211">
        <v>1008</v>
      </c>
      <c r="S10" s="211">
        <v>1810</v>
      </c>
      <c r="T10" s="211">
        <v>1894</v>
      </c>
      <c r="U10" s="211">
        <v>1921</v>
      </c>
      <c r="V10" s="211">
        <v>1844</v>
      </c>
      <c r="W10" s="211">
        <v>1770</v>
      </c>
      <c r="X10" s="211">
        <v>1086</v>
      </c>
      <c r="Y10" s="211">
        <v>1179</v>
      </c>
      <c r="Z10" s="211">
        <v>619</v>
      </c>
      <c r="AA10" s="211">
        <v>716</v>
      </c>
      <c r="AB10" s="211">
        <v>1204</v>
      </c>
      <c r="AC10" s="211">
        <v>3266</v>
      </c>
      <c r="AD10" s="211">
        <v>7052</v>
      </c>
      <c r="AE10" s="211">
        <v>7359</v>
      </c>
      <c r="AF10" s="211">
        <v>7797</v>
      </c>
      <c r="AG10" s="211">
        <v>7916</v>
      </c>
      <c r="AH10" s="211">
        <v>8749</v>
      </c>
      <c r="AI10" s="211">
        <v>12339</v>
      </c>
      <c r="AJ10" s="211">
        <v>13644</v>
      </c>
      <c r="AK10" s="211">
        <v>12806</v>
      </c>
      <c r="AL10" s="211">
        <v>13130</v>
      </c>
      <c r="AM10" s="211">
        <v>10993</v>
      </c>
      <c r="AN10" s="211">
        <v>12211</v>
      </c>
      <c r="AO10" s="212">
        <v>12939</v>
      </c>
    </row>
    <row r="11" spans="1:120" ht="5.0999999999999996" customHeight="1" x14ac:dyDescent="0.2">
      <c r="A11" s="209"/>
      <c r="B11" s="119"/>
      <c r="C11" s="119"/>
      <c r="D11" s="119"/>
      <c r="E11" s="119"/>
      <c r="F11" s="119"/>
      <c r="G11" s="119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0"/>
      <c r="AH11" s="60"/>
      <c r="AI11" s="60"/>
      <c r="AJ11" s="60"/>
      <c r="AK11" s="60"/>
      <c r="AL11" s="60"/>
      <c r="AM11" s="60"/>
      <c r="AN11" s="60"/>
      <c r="AO11" s="201"/>
    </row>
    <row r="12" spans="1:120" s="164" customFormat="1" ht="15" customHeight="1" x14ac:dyDescent="0.2">
      <c r="A12" s="209" t="s">
        <v>345</v>
      </c>
      <c r="B12" s="160">
        <f t="shared" ref="B12:R12" si="0">SUM(B13:B18)</f>
        <v>105269</v>
      </c>
      <c r="C12" s="160">
        <f t="shared" si="0"/>
        <v>112431</v>
      </c>
      <c r="D12" s="160">
        <f t="shared" si="0"/>
        <v>120668</v>
      </c>
      <c r="E12" s="160">
        <f t="shared" si="0"/>
        <v>136211</v>
      </c>
      <c r="F12" s="160">
        <f t="shared" si="0"/>
        <v>143416</v>
      </c>
      <c r="G12" s="160">
        <f t="shared" si="0"/>
        <v>153167</v>
      </c>
      <c r="H12" s="161">
        <f t="shared" si="0"/>
        <v>165500</v>
      </c>
      <c r="I12" s="161">
        <f t="shared" si="0"/>
        <v>179014</v>
      </c>
      <c r="J12" s="161">
        <f t="shared" si="0"/>
        <v>178486</v>
      </c>
      <c r="K12" s="161">
        <f t="shared" si="0"/>
        <v>178028</v>
      </c>
      <c r="L12" s="161">
        <f t="shared" si="0"/>
        <v>179807</v>
      </c>
      <c r="M12" s="161">
        <f t="shared" si="0"/>
        <v>189368</v>
      </c>
      <c r="N12" s="161">
        <f t="shared" si="0"/>
        <v>196561</v>
      </c>
      <c r="O12" s="161">
        <f t="shared" si="0"/>
        <v>207339</v>
      </c>
      <c r="P12" s="161">
        <f t="shared" si="0"/>
        <v>216314</v>
      </c>
      <c r="Q12" s="161">
        <f t="shared" si="0"/>
        <v>229641</v>
      </c>
      <c r="R12" s="161">
        <f t="shared" si="0"/>
        <v>238904</v>
      </c>
      <c r="S12" s="376">
        <f t="shared" ref="S12:AL12" si="1">SUM(S13:S18)</f>
        <v>317991</v>
      </c>
      <c r="T12" s="376">
        <f t="shared" si="1"/>
        <v>330441</v>
      </c>
      <c r="U12" s="376">
        <f t="shared" si="1"/>
        <v>343804</v>
      </c>
      <c r="V12" s="376">
        <f t="shared" si="1"/>
        <v>348987</v>
      </c>
      <c r="W12" s="376">
        <f t="shared" si="1"/>
        <v>363193</v>
      </c>
      <c r="X12" s="376">
        <f t="shared" si="1"/>
        <v>370588</v>
      </c>
      <c r="Y12" s="376">
        <f t="shared" si="1"/>
        <v>384351</v>
      </c>
      <c r="Z12" s="376">
        <f t="shared" si="1"/>
        <v>391063</v>
      </c>
      <c r="AA12" s="376">
        <f t="shared" si="1"/>
        <v>401801</v>
      </c>
      <c r="AB12" s="376">
        <f t="shared" si="1"/>
        <v>411355</v>
      </c>
      <c r="AC12" s="376">
        <f t="shared" si="1"/>
        <v>424007</v>
      </c>
      <c r="AD12" s="376">
        <f t="shared" si="1"/>
        <v>425245</v>
      </c>
      <c r="AE12" s="376">
        <f t="shared" si="1"/>
        <v>427872</v>
      </c>
      <c r="AF12" s="376">
        <f t="shared" si="1"/>
        <v>436398</v>
      </c>
      <c r="AG12" s="376">
        <f t="shared" si="1"/>
        <v>447211</v>
      </c>
      <c r="AH12" s="376">
        <f t="shared" si="1"/>
        <v>454556</v>
      </c>
      <c r="AI12" s="376">
        <f t="shared" si="1"/>
        <v>451067</v>
      </c>
      <c r="AJ12" s="376">
        <f t="shared" si="1"/>
        <v>460844</v>
      </c>
      <c r="AK12" s="376">
        <f t="shared" si="1"/>
        <v>461221</v>
      </c>
      <c r="AL12" s="376">
        <f t="shared" si="1"/>
        <v>450078</v>
      </c>
      <c r="AM12" s="376">
        <f>SUM(AM13:AM18)</f>
        <v>436499</v>
      </c>
      <c r="AN12" s="376">
        <f>SUM(AN13:AN18)</f>
        <v>509560</v>
      </c>
      <c r="AO12" s="377">
        <f>SUM(AO13:AO18)</f>
        <v>502051</v>
      </c>
      <c r="AP12" s="161"/>
      <c r="AQ12" s="161"/>
      <c r="AR12" s="161"/>
      <c r="AS12" s="161"/>
      <c r="AT12" s="161"/>
      <c r="AU12" s="161"/>
      <c r="AV12" s="161"/>
      <c r="AW12" s="161"/>
      <c r="AX12" s="161"/>
      <c r="AY12" s="161"/>
      <c r="AZ12" s="161"/>
      <c r="BA12" s="161"/>
      <c r="BB12" s="161"/>
      <c r="BC12" s="161"/>
      <c r="BD12" s="161"/>
      <c r="BE12" s="161"/>
      <c r="BF12" s="161"/>
      <c r="BG12" s="161"/>
      <c r="BH12" s="161"/>
      <c r="BI12" s="161"/>
      <c r="BJ12" s="161"/>
      <c r="BK12" s="161"/>
      <c r="BL12" s="161"/>
      <c r="BM12" s="161"/>
      <c r="BN12" s="161"/>
      <c r="BO12" s="161"/>
      <c r="BP12" s="161"/>
      <c r="BQ12" s="161"/>
      <c r="BR12" s="161"/>
      <c r="BS12" s="161"/>
      <c r="BT12" s="161"/>
      <c r="BU12" s="161"/>
      <c r="BV12" s="161"/>
      <c r="BW12" s="161"/>
      <c r="BX12" s="161"/>
      <c r="BY12" s="161"/>
      <c r="BZ12" s="161"/>
      <c r="CA12" s="161"/>
      <c r="CB12" s="161"/>
      <c r="CC12" s="161"/>
      <c r="CD12" s="161"/>
      <c r="CE12" s="161"/>
      <c r="CF12" s="161"/>
      <c r="CG12" s="161"/>
      <c r="CH12" s="161"/>
      <c r="CI12" s="161"/>
      <c r="CJ12" s="161"/>
      <c r="CK12" s="161"/>
      <c r="CL12" s="161"/>
      <c r="CM12" s="161"/>
      <c r="CN12" s="161"/>
      <c r="CO12" s="161"/>
      <c r="CP12" s="161"/>
      <c r="CQ12" s="161"/>
      <c r="CR12" s="161"/>
      <c r="CS12" s="161"/>
      <c r="CT12" s="161"/>
      <c r="CU12" s="161"/>
      <c r="CV12" s="161"/>
      <c r="CW12" s="161"/>
      <c r="CX12" s="161"/>
      <c r="CY12" s="161"/>
      <c r="CZ12" s="161"/>
      <c r="DA12" s="161"/>
      <c r="DB12" s="161"/>
      <c r="DC12" s="161"/>
      <c r="DD12" s="161"/>
      <c r="DE12" s="161"/>
      <c r="DF12" s="161"/>
      <c r="DG12" s="161"/>
      <c r="DH12" s="161"/>
      <c r="DI12" s="161"/>
      <c r="DJ12" s="161"/>
      <c r="DK12" s="161"/>
      <c r="DL12" s="161"/>
      <c r="DM12" s="161"/>
      <c r="DN12" s="161"/>
      <c r="DO12" s="161"/>
      <c r="DP12" s="163"/>
    </row>
    <row r="13" spans="1:120" s="164" customFormat="1" ht="15" customHeight="1" x14ac:dyDescent="0.2">
      <c r="A13" s="213" t="s">
        <v>97</v>
      </c>
      <c r="B13" s="165">
        <v>25207</v>
      </c>
      <c r="C13" s="165">
        <v>26880</v>
      </c>
      <c r="D13" s="165">
        <v>28765</v>
      </c>
      <c r="E13" s="165">
        <v>31400</v>
      </c>
      <c r="F13" s="165">
        <v>33479</v>
      </c>
      <c r="G13" s="165">
        <v>35242</v>
      </c>
      <c r="H13" s="166">
        <v>39700</v>
      </c>
      <c r="I13" s="166">
        <v>44261</v>
      </c>
      <c r="J13" s="166">
        <v>40871</v>
      </c>
      <c r="K13" s="166">
        <v>40153</v>
      </c>
      <c r="L13" s="166">
        <v>39256</v>
      </c>
      <c r="M13" s="166">
        <v>39285</v>
      </c>
      <c r="N13" s="166">
        <v>39351</v>
      </c>
      <c r="O13" s="166">
        <v>42505</v>
      </c>
      <c r="P13" s="166">
        <v>44446</v>
      </c>
      <c r="Q13" s="166">
        <v>45268</v>
      </c>
      <c r="R13" s="166">
        <v>46562</v>
      </c>
      <c r="S13" s="373">
        <v>70452</v>
      </c>
      <c r="T13" s="373">
        <v>75620</v>
      </c>
      <c r="U13" s="373">
        <v>75841</v>
      </c>
      <c r="V13" s="373">
        <v>75436</v>
      </c>
      <c r="W13" s="373">
        <v>78798</v>
      </c>
      <c r="X13" s="373">
        <v>82531</v>
      </c>
      <c r="Y13" s="373">
        <v>83880</v>
      </c>
      <c r="Z13" s="373">
        <v>88745</v>
      </c>
      <c r="AA13" s="373">
        <v>84664</v>
      </c>
      <c r="AB13" s="373">
        <v>79460</v>
      </c>
      <c r="AC13" s="373">
        <v>89857</v>
      </c>
      <c r="AD13" s="373">
        <v>90744</v>
      </c>
      <c r="AE13" s="373">
        <v>89141</v>
      </c>
      <c r="AF13" s="373">
        <v>89607</v>
      </c>
      <c r="AG13" s="373">
        <v>91311</v>
      </c>
      <c r="AH13" s="373">
        <v>94438</v>
      </c>
      <c r="AI13" s="373">
        <v>94305</v>
      </c>
      <c r="AJ13" s="373">
        <v>101068</v>
      </c>
      <c r="AK13" s="373">
        <v>98916</v>
      </c>
      <c r="AL13" s="373">
        <v>93194</v>
      </c>
      <c r="AM13" s="373">
        <v>88389</v>
      </c>
      <c r="AN13" s="373">
        <v>107698</v>
      </c>
      <c r="AO13" s="374">
        <v>104109</v>
      </c>
      <c r="AP13" s="166"/>
      <c r="AQ13" s="166"/>
      <c r="AR13" s="166"/>
      <c r="AS13" s="166"/>
      <c r="AT13" s="166"/>
      <c r="AU13" s="166"/>
      <c r="AV13" s="166"/>
      <c r="AW13" s="166"/>
      <c r="AX13" s="166"/>
      <c r="AY13" s="166"/>
      <c r="AZ13" s="166"/>
      <c r="BA13" s="166"/>
      <c r="BB13" s="166"/>
      <c r="BC13" s="166"/>
      <c r="BD13" s="166"/>
      <c r="BE13" s="166"/>
      <c r="BF13" s="166"/>
      <c r="BG13" s="166"/>
      <c r="BH13" s="166"/>
      <c r="BI13" s="166"/>
      <c r="BJ13" s="166"/>
      <c r="BK13" s="166"/>
      <c r="BL13" s="166"/>
      <c r="BM13" s="166"/>
      <c r="BN13" s="166"/>
      <c r="BO13" s="166"/>
      <c r="BP13" s="166"/>
      <c r="BQ13" s="166"/>
      <c r="BR13" s="166"/>
      <c r="BS13" s="166"/>
      <c r="BT13" s="166"/>
      <c r="BU13" s="166"/>
      <c r="BV13" s="166"/>
      <c r="BW13" s="166"/>
      <c r="BX13" s="166"/>
      <c r="BY13" s="166"/>
      <c r="BZ13" s="166"/>
      <c r="CA13" s="166"/>
      <c r="CB13" s="166"/>
      <c r="CC13" s="166"/>
      <c r="CD13" s="166"/>
      <c r="CE13" s="166"/>
      <c r="CF13" s="166"/>
      <c r="CG13" s="166"/>
      <c r="CH13" s="166"/>
      <c r="CI13" s="166"/>
      <c r="CJ13" s="166"/>
      <c r="CK13" s="166"/>
      <c r="CL13" s="166"/>
      <c r="CM13" s="166"/>
      <c r="CN13" s="166"/>
      <c r="CO13" s="166"/>
      <c r="CP13" s="166"/>
      <c r="CQ13" s="166"/>
      <c r="CR13" s="166"/>
      <c r="CS13" s="166"/>
      <c r="CT13" s="166"/>
      <c r="CU13" s="166"/>
      <c r="CV13" s="166"/>
      <c r="CW13" s="166"/>
      <c r="CX13" s="166"/>
      <c r="CY13" s="166"/>
      <c r="CZ13" s="166"/>
      <c r="DA13" s="166"/>
      <c r="DB13" s="166"/>
      <c r="DC13" s="166"/>
      <c r="DD13" s="166"/>
      <c r="DE13" s="166"/>
      <c r="DF13" s="166"/>
      <c r="DG13" s="166"/>
      <c r="DH13" s="166"/>
      <c r="DI13" s="166"/>
      <c r="DJ13" s="166"/>
      <c r="DK13" s="166"/>
      <c r="DL13" s="166"/>
      <c r="DM13" s="166"/>
      <c r="DN13" s="166"/>
      <c r="DO13" s="166"/>
      <c r="DP13" s="167"/>
    </row>
    <row r="14" spans="1:120" s="164" customFormat="1" ht="15" customHeight="1" x14ac:dyDescent="0.2">
      <c r="A14" s="213" t="s">
        <v>98</v>
      </c>
      <c r="B14" s="165">
        <v>15255</v>
      </c>
      <c r="C14" s="165">
        <v>16072</v>
      </c>
      <c r="D14" s="165">
        <v>15807</v>
      </c>
      <c r="E14" s="165">
        <v>18724</v>
      </c>
      <c r="F14" s="165">
        <v>19896</v>
      </c>
      <c r="G14" s="165">
        <v>21099</v>
      </c>
      <c r="H14" s="166">
        <v>21626</v>
      </c>
      <c r="I14" s="166">
        <v>23547</v>
      </c>
      <c r="J14" s="166">
        <v>24039</v>
      </c>
      <c r="K14" s="166">
        <v>24034</v>
      </c>
      <c r="L14" s="166">
        <v>25108</v>
      </c>
      <c r="M14" s="166">
        <v>26436</v>
      </c>
      <c r="N14" s="166">
        <v>27004</v>
      </c>
      <c r="O14" s="166">
        <v>29107</v>
      </c>
      <c r="P14" s="166">
        <v>31104</v>
      </c>
      <c r="Q14" s="166">
        <v>34519</v>
      </c>
      <c r="R14" s="166">
        <v>37809</v>
      </c>
      <c r="S14" s="373">
        <v>49085</v>
      </c>
      <c r="T14" s="373">
        <v>51153</v>
      </c>
      <c r="U14" s="373">
        <v>52647</v>
      </c>
      <c r="V14" s="373">
        <v>54144</v>
      </c>
      <c r="W14" s="373">
        <v>57251</v>
      </c>
      <c r="X14" s="373">
        <v>58786</v>
      </c>
      <c r="Y14" s="373">
        <v>57531</v>
      </c>
      <c r="Z14" s="373">
        <v>57928</v>
      </c>
      <c r="AA14" s="373">
        <v>53852</v>
      </c>
      <c r="AB14" s="373">
        <v>59837</v>
      </c>
      <c r="AC14" s="373">
        <v>59032</v>
      </c>
      <c r="AD14" s="373">
        <v>55117</v>
      </c>
      <c r="AE14" s="373">
        <v>54304</v>
      </c>
      <c r="AF14" s="373">
        <v>55223</v>
      </c>
      <c r="AG14" s="373">
        <v>57382</v>
      </c>
      <c r="AH14" s="373">
        <v>57139</v>
      </c>
      <c r="AI14" s="373">
        <v>55662</v>
      </c>
      <c r="AJ14" s="373">
        <v>54746</v>
      </c>
      <c r="AK14" s="373">
        <v>54156</v>
      </c>
      <c r="AL14" s="373">
        <v>51984</v>
      </c>
      <c r="AM14" s="373">
        <v>49625</v>
      </c>
      <c r="AN14" s="373">
        <v>61507</v>
      </c>
      <c r="AO14" s="374">
        <v>59978</v>
      </c>
      <c r="AP14" s="166"/>
      <c r="AQ14" s="166"/>
      <c r="AR14" s="166"/>
      <c r="AS14" s="166"/>
      <c r="AT14" s="166"/>
      <c r="AU14" s="166"/>
      <c r="AV14" s="166"/>
      <c r="AW14" s="166"/>
      <c r="AX14" s="166"/>
      <c r="AY14" s="166"/>
      <c r="AZ14" s="166"/>
      <c r="BA14" s="166"/>
      <c r="BB14" s="166"/>
      <c r="BC14" s="166"/>
      <c r="BD14" s="166"/>
      <c r="BE14" s="166"/>
      <c r="BF14" s="166"/>
      <c r="BG14" s="166"/>
      <c r="BH14" s="166"/>
      <c r="BI14" s="166"/>
      <c r="BJ14" s="166"/>
      <c r="BK14" s="166"/>
      <c r="BL14" s="166"/>
      <c r="BM14" s="166"/>
      <c r="BN14" s="166"/>
      <c r="BO14" s="166"/>
      <c r="BP14" s="166"/>
      <c r="BQ14" s="166"/>
      <c r="BR14" s="166"/>
      <c r="BS14" s="166"/>
      <c r="BT14" s="166"/>
      <c r="BU14" s="166"/>
      <c r="BV14" s="166"/>
      <c r="BW14" s="166"/>
      <c r="BX14" s="166"/>
      <c r="BY14" s="166"/>
      <c r="BZ14" s="166"/>
      <c r="CA14" s="166"/>
      <c r="CB14" s="166"/>
      <c r="CC14" s="166"/>
      <c r="CD14" s="166"/>
      <c r="CE14" s="166"/>
      <c r="CF14" s="166"/>
      <c r="CG14" s="166"/>
      <c r="CH14" s="166"/>
      <c r="CI14" s="166"/>
      <c r="CJ14" s="166"/>
      <c r="CK14" s="166"/>
      <c r="CL14" s="166"/>
      <c r="CM14" s="166"/>
      <c r="CN14" s="166"/>
      <c r="CO14" s="166"/>
      <c r="CP14" s="166"/>
      <c r="CQ14" s="166"/>
      <c r="CR14" s="166"/>
      <c r="CS14" s="166"/>
      <c r="CT14" s="166"/>
      <c r="CU14" s="166"/>
      <c r="CV14" s="166"/>
      <c r="CW14" s="166"/>
      <c r="CX14" s="166"/>
      <c r="CY14" s="166"/>
      <c r="CZ14" s="166"/>
      <c r="DA14" s="166"/>
      <c r="DB14" s="166"/>
      <c r="DC14" s="166"/>
      <c r="DD14" s="166"/>
      <c r="DE14" s="166"/>
      <c r="DF14" s="166"/>
      <c r="DG14" s="166"/>
      <c r="DH14" s="166"/>
      <c r="DI14" s="166"/>
      <c r="DJ14" s="166"/>
      <c r="DK14" s="166"/>
      <c r="DL14" s="166"/>
      <c r="DM14" s="166"/>
      <c r="DN14" s="166"/>
      <c r="DO14" s="166"/>
      <c r="DP14" s="167"/>
    </row>
    <row r="15" spans="1:120" s="164" customFormat="1" ht="15" customHeight="1" x14ac:dyDescent="0.2">
      <c r="A15" s="139" t="s">
        <v>99</v>
      </c>
      <c r="B15" s="165">
        <v>422</v>
      </c>
      <c r="C15" s="165">
        <v>385</v>
      </c>
      <c r="D15" s="165">
        <v>342</v>
      </c>
      <c r="E15" s="165">
        <v>1050</v>
      </c>
      <c r="F15" s="165">
        <v>862</v>
      </c>
      <c r="G15" s="165">
        <v>816</v>
      </c>
      <c r="H15" s="166">
        <v>914</v>
      </c>
      <c r="I15" s="166">
        <v>1236</v>
      </c>
      <c r="J15" s="166">
        <v>1104</v>
      </c>
      <c r="K15" s="166">
        <v>782</v>
      </c>
      <c r="L15" s="166">
        <v>664</v>
      </c>
      <c r="M15" s="166">
        <v>821</v>
      </c>
      <c r="N15" s="166">
        <v>788</v>
      </c>
      <c r="O15" s="166">
        <v>589</v>
      </c>
      <c r="P15" s="166">
        <v>603</v>
      </c>
      <c r="Q15" s="166">
        <v>566</v>
      </c>
      <c r="R15" s="166">
        <v>716</v>
      </c>
      <c r="S15" s="373">
        <v>4343</v>
      </c>
      <c r="T15" s="373">
        <v>5234</v>
      </c>
      <c r="U15" s="373">
        <v>4624</v>
      </c>
      <c r="V15" s="373">
        <v>4871</v>
      </c>
      <c r="W15" s="373">
        <v>5746</v>
      </c>
      <c r="X15" s="373">
        <v>6617</v>
      </c>
      <c r="Y15" s="373">
        <v>7138</v>
      </c>
      <c r="Z15" s="373">
        <v>7483</v>
      </c>
      <c r="AA15" s="373">
        <v>7642</v>
      </c>
      <c r="AB15" s="373">
        <v>8631</v>
      </c>
      <c r="AC15" s="373">
        <v>8890</v>
      </c>
      <c r="AD15" s="373">
        <v>9510</v>
      </c>
      <c r="AE15" s="373">
        <v>9042</v>
      </c>
      <c r="AF15" s="373">
        <v>9017</v>
      </c>
      <c r="AG15" s="373">
        <v>6774</v>
      </c>
      <c r="AH15" s="373">
        <v>6931</v>
      </c>
      <c r="AI15" s="373">
        <v>5798</v>
      </c>
      <c r="AJ15" s="373">
        <v>7099</v>
      </c>
      <c r="AK15" s="373">
        <v>7562</v>
      </c>
      <c r="AL15" s="373">
        <v>6756</v>
      </c>
      <c r="AM15" s="373">
        <v>4517</v>
      </c>
      <c r="AN15" s="373">
        <v>4098</v>
      </c>
      <c r="AO15" s="374">
        <v>3997</v>
      </c>
      <c r="AP15" s="166"/>
      <c r="AQ15" s="166"/>
      <c r="AR15" s="166"/>
      <c r="AS15" s="166"/>
      <c r="AT15" s="166"/>
      <c r="AU15" s="166"/>
      <c r="AV15" s="166"/>
      <c r="AW15" s="166"/>
      <c r="AX15" s="166"/>
      <c r="AY15" s="166"/>
      <c r="AZ15" s="166"/>
      <c r="BA15" s="166"/>
      <c r="BB15" s="166"/>
      <c r="BC15" s="166"/>
      <c r="BD15" s="166"/>
      <c r="BE15" s="166"/>
      <c r="BF15" s="166"/>
      <c r="BG15" s="166"/>
      <c r="BH15" s="166"/>
      <c r="BI15" s="166"/>
      <c r="BJ15" s="166"/>
      <c r="BK15" s="166"/>
      <c r="BL15" s="166"/>
      <c r="BM15" s="166"/>
      <c r="BN15" s="166"/>
      <c r="BO15" s="166"/>
      <c r="BP15" s="166"/>
      <c r="BQ15" s="166"/>
      <c r="BR15" s="166"/>
      <c r="BS15" s="166"/>
      <c r="BT15" s="166"/>
      <c r="BU15" s="166"/>
      <c r="BV15" s="166"/>
      <c r="BW15" s="166"/>
      <c r="BX15" s="166"/>
      <c r="BY15" s="166"/>
      <c r="BZ15" s="166"/>
      <c r="CA15" s="166"/>
      <c r="CB15" s="166"/>
      <c r="CC15" s="166"/>
      <c r="CD15" s="166"/>
      <c r="CE15" s="166"/>
      <c r="CF15" s="166"/>
      <c r="CG15" s="166"/>
      <c r="CH15" s="166"/>
      <c r="CI15" s="166"/>
      <c r="CJ15" s="166"/>
      <c r="CK15" s="166"/>
      <c r="CL15" s="166"/>
      <c r="CM15" s="166"/>
      <c r="CN15" s="166"/>
      <c r="CO15" s="166"/>
      <c r="CP15" s="166"/>
      <c r="CQ15" s="166"/>
      <c r="CR15" s="166"/>
      <c r="CS15" s="166"/>
      <c r="CT15" s="166"/>
      <c r="CU15" s="166"/>
      <c r="CV15" s="166"/>
      <c r="CW15" s="166"/>
      <c r="CX15" s="166"/>
      <c r="CY15" s="166"/>
      <c r="CZ15" s="166"/>
      <c r="DA15" s="166"/>
      <c r="DB15" s="166"/>
      <c r="DC15" s="166"/>
      <c r="DD15" s="166"/>
      <c r="DE15" s="166"/>
      <c r="DF15" s="166"/>
      <c r="DG15" s="166"/>
      <c r="DH15" s="166"/>
      <c r="DI15" s="166"/>
      <c r="DJ15" s="166"/>
      <c r="DK15" s="166"/>
      <c r="DL15" s="166"/>
      <c r="DM15" s="166"/>
      <c r="DN15" s="166"/>
      <c r="DO15" s="166"/>
      <c r="DP15" s="167"/>
    </row>
    <row r="16" spans="1:120" s="164" customFormat="1" ht="15" customHeight="1" x14ac:dyDescent="0.2">
      <c r="A16" s="213" t="s">
        <v>100</v>
      </c>
      <c r="B16" s="165">
        <f>16601+525</f>
        <v>17126</v>
      </c>
      <c r="C16" s="165">
        <f>17723+539</f>
        <v>18262</v>
      </c>
      <c r="D16" s="165">
        <f>19655+563</f>
        <v>20218</v>
      </c>
      <c r="E16" s="165">
        <f>24135+562+1</f>
        <v>24698</v>
      </c>
      <c r="F16" s="165">
        <f>25094+637</f>
        <v>25731</v>
      </c>
      <c r="G16" s="165">
        <v>29209</v>
      </c>
      <c r="H16" s="166">
        <f>31627+730</f>
        <v>32357</v>
      </c>
      <c r="I16" s="166">
        <v>35122</v>
      </c>
      <c r="J16" s="166">
        <v>37268</v>
      </c>
      <c r="K16" s="166">
        <v>37180</v>
      </c>
      <c r="L16" s="166">
        <v>37887</v>
      </c>
      <c r="M16" s="166">
        <v>39250</v>
      </c>
      <c r="N16" s="166">
        <v>42104</v>
      </c>
      <c r="O16" s="166">
        <v>44101</v>
      </c>
      <c r="P16" s="166">
        <v>45536</v>
      </c>
      <c r="Q16" s="166">
        <v>49496</v>
      </c>
      <c r="R16" s="166">
        <v>51772</v>
      </c>
      <c r="S16" s="373">
        <v>87352</v>
      </c>
      <c r="T16" s="373">
        <v>88964</v>
      </c>
      <c r="U16" s="373">
        <v>98263</v>
      </c>
      <c r="V16" s="373">
        <v>101243</v>
      </c>
      <c r="W16" s="373">
        <v>105188</v>
      </c>
      <c r="X16" s="373">
        <v>104200</v>
      </c>
      <c r="Y16" s="373">
        <v>114383</v>
      </c>
      <c r="Z16" s="373">
        <v>113991</v>
      </c>
      <c r="AA16" s="373">
        <v>129067</v>
      </c>
      <c r="AB16" s="373">
        <v>133253</v>
      </c>
      <c r="AC16" s="373">
        <v>130829</v>
      </c>
      <c r="AD16" s="373">
        <v>133696</v>
      </c>
      <c r="AE16" s="373">
        <v>136461</v>
      </c>
      <c r="AF16" s="373">
        <v>140763</v>
      </c>
      <c r="AG16" s="373">
        <v>146569</v>
      </c>
      <c r="AH16" s="373">
        <v>150114</v>
      </c>
      <c r="AI16" s="373">
        <v>148098</v>
      </c>
      <c r="AJ16" s="373">
        <v>148970</v>
      </c>
      <c r="AK16" s="373">
        <v>149403</v>
      </c>
      <c r="AL16" s="373">
        <v>147075</v>
      </c>
      <c r="AM16" s="373">
        <v>141814</v>
      </c>
      <c r="AN16" s="373">
        <v>160613</v>
      </c>
      <c r="AO16" s="374">
        <v>157349</v>
      </c>
      <c r="AP16" s="166"/>
      <c r="AQ16" s="166"/>
      <c r="AR16" s="166"/>
      <c r="AS16" s="166"/>
      <c r="AT16" s="166"/>
      <c r="AU16" s="166"/>
      <c r="AV16" s="166"/>
      <c r="AW16" s="166"/>
      <c r="AX16" s="166"/>
      <c r="AY16" s="166"/>
      <c r="AZ16" s="166"/>
      <c r="BA16" s="166"/>
      <c r="BB16" s="166"/>
      <c r="BC16" s="166"/>
      <c r="BD16" s="166"/>
      <c r="BE16" s="166"/>
      <c r="BF16" s="166"/>
      <c r="BG16" s="166"/>
      <c r="BH16" s="166"/>
      <c r="BI16" s="166"/>
      <c r="BJ16" s="166"/>
      <c r="BK16" s="166"/>
      <c r="BL16" s="166"/>
      <c r="BM16" s="166"/>
      <c r="BN16" s="166"/>
      <c r="BO16" s="166"/>
      <c r="BP16" s="166"/>
      <c r="BQ16" s="166"/>
      <c r="BR16" s="166"/>
      <c r="BS16" s="166"/>
      <c r="BT16" s="166"/>
      <c r="BU16" s="166"/>
      <c r="BV16" s="166"/>
      <c r="BW16" s="166"/>
      <c r="BX16" s="166"/>
      <c r="BY16" s="166"/>
      <c r="BZ16" s="166"/>
      <c r="CA16" s="166"/>
      <c r="CB16" s="166"/>
      <c r="CC16" s="166"/>
      <c r="CD16" s="166"/>
      <c r="CE16" s="166"/>
      <c r="CF16" s="166"/>
      <c r="CG16" s="166"/>
      <c r="CH16" s="166"/>
      <c r="CI16" s="166"/>
      <c r="CJ16" s="166"/>
      <c r="CK16" s="166"/>
      <c r="CL16" s="166"/>
      <c r="CM16" s="166"/>
      <c r="CN16" s="166"/>
      <c r="CO16" s="166"/>
      <c r="CP16" s="166"/>
      <c r="CQ16" s="166"/>
      <c r="CR16" s="166"/>
      <c r="CS16" s="166"/>
      <c r="CT16" s="166"/>
      <c r="CU16" s="166"/>
      <c r="CV16" s="166"/>
      <c r="CW16" s="166"/>
      <c r="CX16" s="166"/>
      <c r="CY16" s="166"/>
      <c r="CZ16" s="166"/>
      <c r="DA16" s="166"/>
      <c r="DB16" s="166"/>
      <c r="DC16" s="166"/>
      <c r="DD16" s="166"/>
      <c r="DE16" s="166"/>
      <c r="DF16" s="166"/>
      <c r="DG16" s="166"/>
      <c r="DH16" s="166"/>
      <c r="DI16" s="166"/>
      <c r="DJ16" s="166"/>
      <c r="DK16" s="166"/>
      <c r="DL16" s="166"/>
      <c r="DM16" s="166"/>
      <c r="DN16" s="166"/>
      <c r="DO16" s="166"/>
      <c r="DP16" s="167"/>
    </row>
    <row r="17" spans="1:120" s="164" customFormat="1" ht="15" customHeight="1" x14ac:dyDescent="0.2">
      <c r="A17" s="139" t="s">
        <v>634</v>
      </c>
      <c r="B17" s="165">
        <v>1393</v>
      </c>
      <c r="C17" s="165">
        <v>1444</v>
      </c>
      <c r="D17" s="165">
        <v>1577</v>
      </c>
      <c r="E17" s="165">
        <v>1623</v>
      </c>
      <c r="F17" s="165">
        <v>1806</v>
      </c>
      <c r="G17" s="165">
        <v>1912</v>
      </c>
      <c r="H17" s="166">
        <v>2115</v>
      </c>
      <c r="I17" s="166">
        <v>2246</v>
      </c>
      <c r="J17" s="166">
        <v>2697</v>
      </c>
      <c r="K17" s="166">
        <v>2686</v>
      </c>
      <c r="L17" s="166">
        <v>2663</v>
      </c>
      <c r="M17" s="166">
        <v>2654</v>
      </c>
      <c r="N17" s="166">
        <v>2585</v>
      </c>
      <c r="O17" s="166">
        <v>2715</v>
      </c>
      <c r="P17" s="166">
        <v>2970</v>
      </c>
      <c r="Q17" s="166">
        <v>2908</v>
      </c>
      <c r="R17" s="166">
        <v>3307</v>
      </c>
      <c r="S17" s="373">
        <v>3844</v>
      </c>
      <c r="T17" s="373">
        <v>4081</v>
      </c>
      <c r="U17" s="373">
        <v>3757</v>
      </c>
      <c r="V17" s="373">
        <v>3642</v>
      </c>
      <c r="W17" s="373">
        <v>3975</v>
      </c>
      <c r="X17" s="373">
        <v>3918</v>
      </c>
      <c r="Y17" s="373">
        <v>3879</v>
      </c>
      <c r="Z17" s="373">
        <v>3903</v>
      </c>
      <c r="AA17" s="373">
        <v>3014</v>
      </c>
      <c r="AB17" s="373">
        <v>3106</v>
      </c>
      <c r="AC17" s="373">
        <v>4649</v>
      </c>
      <c r="AD17" s="373">
        <v>3526</v>
      </c>
      <c r="AE17" s="373">
        <v>3856</v>
      </c>
      <c r="AF17" s="373">
        <v>3760</v>
      </c>
      <c r="AG17" s="373">
        <v>3743</v>
      </c>
      <c r="AH17" s="373">
        <v>3883</v>
      </c>
      <c r="AI17" s="373">
        <v>3743</v>
      </c>
      <c r="AJ17" s="373">
        <v>3727</v>
      </c>
      <c r="AK17" s="373">
        <v>3435</v>
      </c>
      <c r="AL17" s="373">
        <v>3310</v>
      </c>
      <c r="AM17" s="373">
        <v>3235</v>
      </c>
      <c r="AN17" s="373">
        <v>4577</v>
      </c>
      <c r="AO17" s="374">
        <v>4573</v>
      </c>
      <c r="AP17" s="166"/>
      <c r="AQ17" s="166"/>
      <c r="AR17" s="166"/>
      <c r="AS17" s="166"/>
      <c r="AT17" s="166"/>
      <c r="AU17" s="166"/>
      <c r="AV17" s="166"/>
      <c r="AW17" s="166"/>
      <c r="AX17" s="166"/>
      <c r="AY17" s="166"/>
      <c r="AZ17" s="166"/>
      <c r="BA17" s="166"/>
      <c r="BB17" s="166"/>
      <c r="BC17" s="166"/>
      <c r="BD17" s="166"/>
      <c r="BE17" s="166"/>
      <c r="BF17" s="166"/>
      <c r="BG17" s="166"/>
      <c r="BH17" s="166"/>
      <c r="BI17" s="166"/>
      <c r="BJ17" s="166"/>
      <c r="BK17" s="166"/>
      <c r="BL17" s="166"/>
      <c r="BM17" s="166"/>
      <c r="BN17" s="166"/>
      <c r="BO17" s="166"/>
      <c r="BP17" s="166"/>
      <c r="BQ17" s="166"/>
      <c r="BR17" s="166"/>
      <c r="BS17" s="166"/>
      <c r="BT17" s="166"/>
      <c r="BU17" s="166"/>
      <c r="BV17" s="166"/>
      <c r="BW17" s="166"/>
      <c r="BX17" s="166"/>
      <c r="BY17" s="166"/>
      <c r="BZ17" s="166"/>
      <c r="CA17" s="166"/>
      <c r="CB17" s="166"/>
      <c r="CC17" s="166"/>
      <c r="CD17" s="166"/>
      <c r="CE17" s="166"/>
      <c r="CF17" s="166"/>
      <c r="CG17" s="166"/>
      <c r="CH17" s="166"/>
      <c r="CI17" s="166"/>
      <c r="CJ17" s="166"/>
      <c r="CK17" s="166"/>
      <c r="CL17" s="166"/>
      <c r="CM17" s="166"/>
      <c r="CN17" s="166"/>
      <c r="CO17" s="166"/>
      <c r="CP17" s="166"/>
      <c r="CQ17" s="166"/>
      <c r="CR17" s="166"/>
      <c r="CS17" s="166"/>
      <c r="CT17" s="166"/>
      <c r="CU17" s="166"/>
      <c r="CV17" s="166"/>
      <c r="CW17" s="166"/>
      <c r="CX17" s="166"/>
      <c r="CY17" s="166"/>
      <c r="CZ17" s="166"/>
      <c r="DA17" s="166"/>
      <c r="DB17" s="166"/>
      <c r="DC17" s="166"/>
      <c r="DD17" s="166"/>
      <c r="DE17" s="166"/>
      <c r="DF17" s="166"/>
      <c r="DG17" s="166"/>
      <c r="DH17" s="166"/>
      <c r="DI17" s="166"/>
      <c r="DJ17" s="166"/>
      <c r="DK17" s="166"/>
      <c r="DL17" s="166"/>
      <c r="DM17" s="166"/>
      <c r="DN17" s="166"/>
      <c r="DO17" s="166"/>
      <c r="DP17" s="167"/>
    </row>
    <row r="18" spans="1:120" s="164" customFormat="1" ht="15" customHeight="1" x14ac:dyDescent="0.2">
      <c r="A18" s="213" t="s">
        <v>101</v>
      </c>
      <c r="B18" s="165">
        <f>41628+4238</f>
        <v>45866</v>
      </c>
      <c r="C18" s="165">
        <f>44694+4694</f>
        <v>49388</v>
      </c>
      <c r="D18" s="165">
        <f>49285+4674</f>
        <v>53959</v>
      </c>
      <c r="E18" s="165">
        <f>53474+5243-1</f>
        <v>58716</v>
      </c>
      <c r="F18" s="165">
        <f>56969+4673</f>
        <v>61642</v>
      </c>
      <c r="G18" s="165">
        <v>64889</v>
      </c>
      <c r="H18" s="166">
        <f>63746+5042</f>
        <v>68788</v>
      </c>
      <c r="I18" s="166">
        <v>72602</v>
      </c>
      <c r="J18" s="166">
        <v>72507</v>
      </c>
      <c r="K18" s="166">
        <v>73193</v>
      </c>
      <c r="L18" s="166">
        <v>74229</v>
      </c>
      <c r="M18" s="166">
        <v>80922</v>
      </c>
      <c r="N18" s="166">
        <v>84729</v>
      </c>
      <c r="O18" s="166">
        <v>88322</v>
      </c>
      <c r="P18" s="166">
        <v>91655</v>
      </c>
      <c r="Q18" s="166">
        <v>96884</v>
      </c>
      <c r="R18" s="166">
        <v>98738</v>
      </c>
      <c r="S18" s="373">
        <v>102915</v>
      </c>
      <c r="T18" s="373">
        <v>105389</v>
      </c>
      <c r="U18" s="373">
        <v>108672</v>
      </c>
      <c r="V18" s="373">
        <v>109651</v>
      </c>
      <c r="W18" s="373">
        <v>112235</v>
      </c>
      <c r="X18" s="373">
        <v>114536</v>
      </c>
      <c r="Y18" s="373">
        <v>117540</v>
      </c>
      <c r="Z18" s="373">
        <v>119013</v>
      </c>
      <c r="AA18" s="373">
        <v>123562</v>
      </c>
      <c r="AB18" s="373">
        <v>127068</v>
      </c>
      <c r="AC18" s="373">
        <v>130750</v>
      </c>
      <c r="AD18" s="373">
        <v>132652</v>
      </c>
      <c r="AE18" s="373">
        <v>135068</v>
      </c>
      <c r="AF18" s="373">
        <v>138028</v>
      </c>
      <c r="AG18" s="373">
        <v>141432</v>
      </c>
      <c r="AH18" s="373">
        <v>142051</v>
      </c>
      <c r="AI18" s="373">
        <v>143461</v>
      </c>
      <c r="AJ18" s="373">
        <v>145234</v>
      </c>
      <c r="AK18" s="373">
        <v>147749</v>
      </c>
      <c r="AL18" s="373">
        <v>147759</v>
      </c>
      <c r="AM18" s="373">
        <v>148919</v>
      </c>
      <c r="AN18" s="373">
        <v>171067</v>
      </c>
      <c r="AO18" s="374">
        <v>172045</v>
      </c>
      <c r="AP18" s="166"/>
      <c r="AQ18" s="166"/>
      <c r="AR18" s="166"/>
      <c r="AS18" s="166"/>
      <c r="AT18" s="166"/>
      <c r="AU18" s="166"/>
      <c r="AV18" s="166"/>
      <c r="AW18" s="166"/>
      <c r="AX18" s="166"/>
      <c r="AY18" s="166"/>
      <c r="AZ18" s="166"/>
      <c r="BA18" s="166"/>
      <c r="BB18" s="166"/>
      <c r="BC18" s="166"/>
      <c r="BD18" s="166"/>
      <c r="BE18" s="166"/>
      <c r="BF18" s="166"/>
      <c r="BG18" s="166"/>
      <c r="BH18" s="166"/>
      <c r="BI18" s="166"/>
      <c r="BJ18" s="166"/>
      <c r="BK18" s="166"/>
      <c r="BL18" s="166"/>
      <c r="BM18" s="166"/>
      <c r="BN18" s="166"/>
      <c r="BO18" s="166"/>
      <c r="BP18" s="166"/>
      <c r="BQ18" s="166"/>
      <c r="BR18" s="166"/>
      <c r="BS18" s="166"/>
      <c r="BT18" s="166"/>
      <c r="BU18" s="166"/>
      <c r="BV18" s="166"/>
      <c r="BW18" s="166"/>
      <c r="BX18" s="166"/>
      <c r="BY18" s="166"/>
      <c r="BZ18" s="166"/>
      <c r="CA18" s="166"/>
      <c r="CB18" s="166"/>
      <c r="CC18" s="166"/>
      <c r="CD18" s="166"/>
      <c r="CE18" s="166"/>
      <c r="CF18" s="166"/>
      <c r="CG18" s="166"/>
      <c r="CH18" s="166"/>
      <c r="CI18" s="166"/>
      <c r="CJ18" s="166"/>
      <c r="CK18" s="166"/>
      <c r="CL18" s="166"/>
      <c r="CM18" s="166"/>
      <c r="CN18" s="166"/>
      <c r="CO18" s="166"/>
      <c r="CP18" s="166"/>
      <c r="CQ18" s="166"/>
      <c r="CR18" s="166"/>
      <c r="CS18" s="166"/>
      <c r="CT18" s="166"/>
      <c r="CU18" s="166"/>
      <c r="CV18" s="166"/>
      <c r="CW18" s="166"/>
      <c r="CX18" s="166"/>
      <c r="CY18" s="166"/>
      <c r="CZ18" s="166"/>
      <c r="DA18" s="166"/>
      <c r="DB18" s="166"/>
      <c r="DC18" s="166"/>
      <c r="DD18" s="166"/>
      <c r="DE18" s="166"/>
      <c r="DF18" s="166"/>
      <c r="DG18" s="166"/>
      <c r="DH18" s="166"/>
      <c r="DI18" s="166"/>
      <c r="DJ18" s="166"/>
      <c r="DK18" s="166"/>
      <c r="DL18" s="166"/>
      <c r="DM18" s="166"/>
      <c r="DN18" s="166"/>
      <c r="DO18" s="166"/>
      <c r="DP18" s="167"/>
    </row>
    <row r="19" spans="1:120" ht="5.0999999999999996" customHeight="1" x14ac:dyDescent="0.2">
      <c r="A19" s="21"/>
      <c r="B19" s="120"/>
      <c r="C19" s="120"/>
      <c r="D19" s="120"/>
      <c r="E19" s="120"/>
      <c r="F19" s="120"/>
      <c r="G19" s="120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</row>
    <row r="20" spans="1:120" s="178" customFormat="1" ht="15" customHeight="1" thickBot="1" x14ac:dyDescent="0.25">
      <c r="A20" s="175" t="s">
        <v>13</v>
      </c>
      <c r="B20" s="176">
        <f t="shared" ref="B20:AL20" si="2">B10 +B12</f>
        <v>106236</v>
      </c>
      <c r="C20" s="176">
        <f t="shared" si="2"/>
        <v>113424</v>
      </c>
      <c r="D20" s="176">
        <f t="shared" si="2"/>
        <v>121594</v>
      </c>
      <c r="E20" s="176">
        <f t="shared" si="2"/>
        <v>137112</v>
      </c>
      <c r="F20" s="176">
        <f t="shared" si="2"/>
        <v>144329</v>
      </c>
      <c r="G20" s="176">
        <f t="shared" si="2"/>
        <v>154018</v>
      </c>
      <c r="H20" s="176">
        <f t="shared" si="2"/>
        <v>166406</v>
      </c>
      <c r="I20" s="176">
        <f t="shared" si="2"/>
        <v>179955</v>
      </c>
      <c r="J20" s="176">
        <f t="shared" si="2"/>
        <v>180048</v>
      </c>
      <c r="K20" s="176">
        <f t="shared" si="2"/>
        <v>179377</v>
      </c>
      <c r="L20" s="176">
        <f t="shared" si="2"/>
        <v>180969</v>
      </c>
      <c r="M20" s="176">
        <f t="shared" si="2"/>
        <v>190989</v>
      </c>
      <c r="N20" s="176">
        <f t="shared" si="2"/>
        <v>198107</v>
      </c>
      <c r="O20" s="176">
        <f t="shared" si="2"/>
        <v>208588</v>
      </c>
      <c r="P20" s="176">
        <f t="shared" si="2"/>
        <v>217274</v>
      </c>
      <c r="Q20" s="176">
        <f t="shared" si="2"/>
        <v>230614</v>
      </c>
      <c r="R20" s="176">
        <f t="shared" si="2"/>
        <v>239912</v>
      </c>
      <c r="S20" s="375">
        <f t="shared" si="2"/>
        <v>319801</v>
      </c>
      <c r="T20" s="375">
        <f t="shared" si="2"/>
        <v>332335</v>
      </c>
      <c r="U20" s="375">
        <f t="shared" si="2"/>
        <v>345725</v>
      </c>
      <c r="V20" s="375">
        <f t="shared" si="2"/>
        <v>350831</v>
      </c>
      <c r="W20" s="375">
        <f t="shared" si="2"/>
        <v>364963</v>
      </c>
      <c r="X20" s="375">
        <f t="shared" si="2"/>
        <v>371674</v>
      </c>
      <c r="Y20" s="375">
        <f t="shared" si="2"/>
        <v>385530</v>
      </c>
      <c r="Z20" s="375">
        <f t="shared" si="2"/>
        <v>391682</v>
      </c>
      <c r="AA20" s="375">
        <f t="shared" si="2"/>
        <v>402517</v>
      </c>
      <c r="AB20" s="375">
        <f t="shared" si="2"/>
        <v>412559</v>
      </c>
      <c r="AC20" s="375">
        <f t="shared" si="2"/>
        <v>427273</v>
      </c>
      <c r="AD20" s="375">
        <f t="shared" si="2"/>
        <v>432297</v>
      </c>
      <c r="AE20" s="375">
        <f t="shared" si="2"/>
        <v>435231</v>
      </c>
      <c r="AF20" s="375">
        <f t="shared" si="2"/>
        <v>444195</v>
      </c>
      <c r="AG20" s="375">
        <f t="shared" si="2"/>
        <v>455127</v>
      </c>
      <c r="AH20" s="375">
        <f t="shared" si="2"/>
        <v>463305</v>
      </c>
      <c r="AI20" s="375">
        <f t="shared" si="2"/>
        <v>463406</v>
      </c>
      <c r="AJ20" s="375">
        <f t="shared" si="2"/>
        <v>474488</v>
      </c>
      <c r="AK20" s="375">
        <f t="shared" si="2"/>
        <v>474027</v>
      </c>
      <c r="AL20" s="375">
        <f t="shared" si="2"/>
        <v>463208</v>
      </c>
      <c r="AM20" s="375">
        <f>AM10 +AM12</f>
        <v>447492</v>
      </c>
      <c r="AN20" s="375">
        <f>AN10 +AN12</f>
        <v>521771</v>
      </c>
      <c r="AO20" s="375">
        <f>AO10 +AO12</f>
        <v>514990</v>
      </c>
      <c r="AP20" s="193"/>
      <c r="AQ20" s="193"/>
      <c r="AR20" s="193"/>
      <c r="AS20" s="193"/>
      <c r="AT20" s="193"/>
      <c r="AU20" s="193"/>
      <c r="AV20" s="193"/>
      <c r="AW20" s="193"/>
      <c r="AX20" s="193"/>
      <c r="AY20" s="193"/>
      <c r="AZ20" s="193"/>
      <c r="BA20" s="193"/>
      <c r="BB20" s="193"/>
      <c r="BC20" s="193"/>
      <c r="BD20" s="193"/>
      <c r="BE20" s="193"/>
      <c r="BF20" s="193"/>
      <c r="BG20" s="193"/>
      <c r="BH20" s="193"/>
      <c r="BI20" s="193"/>
      <c r="BJ20" s="193"/>
      <c r="BK20" s="193"/>
      <c r="BL20" s="193"/>
      <c r="BM20" s="193"/>
      <c r="BN20" s="193"/>
      <c r="BO20" s="193"/>
      <c r="BP20" s="193"/>
      <c r="BQ20" s="193"/>
      <c r="BR20" s="193"/>
      <c r="BS20" s="193"/>
      <c r="BT20" s="193"/>
      <c r="BU20" s="193"/>
      <c r="BV20" s="193"/>
      <c r="BW20" s="193"/>
      <c r="BX20" s="193"/>
      <c r="BY20" s="193"/>
      <c r="BZ20" s="193"/>
      <c r="CA20" s="193"/>
      <c r="CB20" s="193"/>
      <c r="CC20" s="193"/>
      <c r="CD20" s="193"/>
      <c r="CE20" s="193"/>
      <c r="CF20" s="193"/>
      <c r="CG20" s="193"/>
      <c r="CH20" s="193"/>
      <c r="CI20" s="193"/>
      <c r="CJ20" s="193"/>
      <c r="CK20" s="193"/>
      <c r="CL20" s="193"/>
      <c r="CM20" s="193"/>
      <c r="CN20" s="193"/>
      <c r="CO20" s="193"/>
      <c r="CP20" s="193"/>
      <c r="CQ20" s="193"/>
      <c r="CR20" s="193"/>
      <c r="CS20" s="193"/>
      <c r="CT20" s="193"/>
      <c r="CU20" s="193"/>
      <c r="CV20" s="193"/>
      <c r="CW20" s="193"/>
      <c r="CX20" s="193"/>
      <c r="CY20" s="193"/>
      <c r="CZ20" s="193"/>
      <c r="DA20" s="193"/>
      <c r="DB20" s="193"/>
      <c r="DC20" s="193"/>
      <c r="DD20" s="193"/>
      <c r="DE20" s="193"/>
      <c r="DF20" s="193"/>
      <c r="DG20" s="193"/>
      <c r="DH20" s="193"/>
      <c r="DI20" s="193"/>
      <c r="DJ20" s="193"/>
      <c r="DK20" s="193"/>
      <c r="DL20" s="193"/>
      <c r="DM20" s="193"/>
      <c r="DN20" s="193"/>
      <c r="DO20" s="193"/>
      <c r="DP20" s="193"/>
    </row>
    <row r="21" spans="1:120" ht="12.95" customHeight="1" thickTop="1" x14ac:dyDescent="0.2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7"/>
      <c r="AG21" s="27"/>
      <c r="AH21" s="27"/>
      <c r="AI21" s="27"/>
      <c r="AJ21" s="27"/>
      <c r="AK21" s="22"/>
    </row>
    <row r="22" spans="1:120" s="36" customFormat="1" ht="24" x14ac:dyDescent="0.2">
      <c r="A22" s="502" t="s">
        <v>355</v>
      </c>
      <c r="B22" s="483"/>
      <c r="C22" s="482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7"/>
      <c r="AG22" s="27"/>
      <c r="AH22" s="27"/>
      <c r="AI22" s="27"/>
      <c r="AJ22" s="27"/>
      <c r="AK22" s="27"/>
    </row>
    <row r="23" spans="1:120" s="36" customFormat="1" ht="24" x14ac:dyDescent="0.2">
      <c r="A23" s="502" t="s">
        <v>354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30"/>
      <c r="AG23" s="30"/>
      <c r="AH23" s="30"/>
      <c r="AI23" s="30"/>
      <c r="AJ23" s="30"/>
      <c r="AK23" s="30"/>
    </row>
    <row r="24" spans="1:120" s="36" customFormat="1" ht="11.25" x14ac:dyDescent="0.2">
      <c r="A24" s="26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</row>
    <row r="25" spans="1:120" s="36" customFormat="1" ht="11.25" x14ac:dyDescent="0.2">
      <c r="A25" s="26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</row>
    <row r="26" spans="1:120" s="36" customFormat="1" ht="11.25" x14ac:dyDescent="0.2">
      <c r="A26" s="26"/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</row>
    <row r="27" spans="1:120" s="36" customFormat="1" ht="11.25" x14ac:dyDescent="0.2">
      <c r="A27" s="26"/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</row>
    <row r="28" spans="1:120" s="36" customFormat="1" ht="11.25" x14ac:dyDescent="0.2">
      <c r="A28" s="26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</row>
    <row r="29" spans="1:120" s="36" customFormat="1" ht="11.25" x14ac:dyDescent="0.2">
      <c r="A29" s="26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</row>
    <row r="30" spans="1:120" s="36" customFormat="1" ht="11.25" x14ac:dyDescent="0.2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</row>
    <row r="31" spans="1:120" s="36" customFormat="1" ht="11.25" x14ac:dyDescent="0.2">
      <c r="A31" s="26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</row>
    <row r="32" spans="1:120" s="36" customFormat="1" ht="11.25" x14ac:dyDescent="0.2">
      <c r="A32" s="26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</row>
    <row r="33" spans="1:37" s="36" customFormat="1" ht="11.25" x14ac:dyDescent="0.2">
      <c r="A33" s="26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</row>
    <row r="34" spans="1:37" s="36" customFormat="1" ht="11.25" x14ac:dyDescent="0.2">
      <c r="A34" s="26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</row>
    <row r="35" spans="1:37" s="36" customFormat="1" ht="11.25" x14ac:dyDescent="0.2">
      <c r="A35" s="26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</row>
    <row r="36" spans="1:37" s="36" customFormat="1" ht="11.25" x14ac:dyDescent="0.2">
      <c r="A36" s="26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</row>
    <row r="37" spans="1:37" s="36" customFormat="1" ht="11.25" x14ac:dyDescent="0.2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</row>
    <row r="38" spans="1:37" s="36" customFormat="1" ht="11.25" x14ac:dyDescent="0.2">
      <c r="A38" s="26"/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</row>
    <row r="39" spans="1:37" s="36" customFormat="1" ht="11.25" x14ac:dyDescent="0.2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</row>
    <row r="40" spans="1:37" s="36" customFormat="1" ht="11.25" x14ac:dyDescent="0.2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</row>
    <row r="41" spans="1:37" s="36" customFormat="1" ht="11.25" x14ac:dyDescent="0.2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</row>
    <row r="42" spans="1:37" s="36" customFormat="1" ht="11.25" x14ac:dyDescent="0.2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</row>
    <row r="43" spans="1:37" s="36" customFormat="1" ht="11.25" x14ac:dyDescent="0.2">
      <c r="A43" s="26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</row>
    <row r="44" spans="1:37" s="36" customFormat="1" ht="11.25" x14ac:dyDescent="0.2">
      <c r="A44" s="26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</row>
    <row r="45" spans="1:37" s="36" customFormat="1" ht="11.25" x14ac:dyDescent="0.2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</row>
    <row r="46" spans="1:37" s="36" customFormat="1" ht="11.25" x14ac:dyDescent="0.2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</row>
    <row r="47" spans="1:37" s="36" customFormat="1" ht="11.25" x14ac:dyDescent="0.2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</row>
    <row r="48" spans="1:37" s="36" customFormat="1" ht="11.25" x14ac:dyDescent="0.2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</row>
    <row r="49" spans="1:37" s="36" customFormat="1" ht="11.25" x14ac:dyDescent="0.2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</row>
    <row r="50" spans="1:37" s="36" customFormat="1" ht="11.25" x14ac:dyDescent="0.2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</row>
    <row r="51" spans="1:37" s="36" customFormat="1" ht="11.25" x14ac:dyDescent="0.2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</row>
    <row r="52" spans="1:37" s="36" customFormat="1" ht="11.25" x14ac:dyDescent="0.2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</row>
    <row r="53" spans="1:37" s="36" customFormat="1" ht="11.25" x14ac:dyDescent="0.2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</row>
    <row r="54" spans="1:37" s="36" customFormat="1" ht="11.25" x14ac:dyDescent="0.2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</row>
    <row r="55" spans="1:37" s="36" customFormat="1" ht="11.25" x14ac:dyDescent="0.2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</row>
    <row r="56" spans="1:37" s="36" customFormat="1" ht="11.25" x14ac:dyDescent="0.2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</row>
    <row r="57" spans="1:37" s="36" customFormat="1" ht="11.25" x14ac:dyDescent="0.2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</row>
    <row r="58" spans="1:37" s="36" customFormat="1" ht="11.25" x14ac:dyDescent="0.2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</row>
    <row r="59" spans="1:37" s="36" customFormat="1" ht="11.25" x14ac:dyDescent="0.2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</row>
    <row r="60" spans="1:37" s="36" customFormat="1" ht="11.25" x14ac:dyDescent="0.2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</row>
    <row r="61" spans="1:37" s="36" customFormat="1" ht="11.25" x14ac:dyDescent="0.2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</row>
    <row r="62" spans="1:37" s="36" customFormat="1" ht="11.25" x14ac:dyDescent="0.2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</row>
    <row r="63" spans="1:37" s="36" customFormat="1" ht="11.25" x14ac:dyDescent="0.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</row>
    <row r="64" spans="1:37" s="36" customFormat="1" ht="11.25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</row>
    <row r="65" spans="1:37" s="36" customFormat="1" ht="11.25" x14ac:dyDescent="0.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</row>
    <row r="66" spans="1:37" s="36" customFormat="1" ht="11.25" x14ac:dyDescent="0.2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</row>
    <row r="67" spans="1:37" s="36" customFormat="1" ht="11.25" x14ac:dyDescent="0.2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</row>
    <row r="68" spans="1:37" s="36" customFormat="1" ht="11.25" x14ac:dyDescent="0.2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</row>
    <row r="69" spans="1:37" s="36" customFormat="1" ht="11.25" x14ac:dyDescent="0.2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</row>
    <row r="70" spans="1:37" s="36" customFormat="1" ht="11.25" x14ac:dyDescent="0.2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</row>
    <row r="71" spans="1:37" s="36" customFormat="1" ht="11.25" x14ac:dyDescent="0.2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</row>
    <row r="72" spans="1:37" s="36" customFormat="1" ht="11.25" x14ac:dyDescent="0.2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</row>
    <row r="73" spans="1:37" s="36" customFormat="1" ht="11.25" x14ac:dyDescent="0.2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</row>
    <row r="74" spans="1:37" s="36" customFormat="1" ht="11.25" x14ac:dyDescent="0.2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</row>
    <row r="75" spans="1:37" s="36" customFormat="1" ht="11.25" x14ac:dyDescent="0.2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</row>
    <row r="76" spans="1:37" s="36" customFormat="1" ht="11.25" x14ac:dyDescent="0.2">
      <c r="A76" s="26"/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</row>
    <row r="77" spans="1:37" s="36" customFormat="1" ht="11.25" x14ac:dyDescent="0.2">
      <c r="A77" s="26"/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</row>
    <row r="78" spans="1:37" s="36" customFormat="1" ht="11.25" x14ac:dyDescent="0.2">
      <c r="A78" s="26"/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</row>
    <row r="79" spans="1:37" s="36" customFormat="1" ht="11.25" x14ac:dyDescent="0.2">
      <c r="A79" s="26"/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</row>
    <row r="80" spans="1:37" s="36" customFormat="1" ht="11.25" x14ac:dyDescent="0.2">
      <c r="A80" s="26"/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26"/>
      <c r="AI80" s="26"/>
      <c r="AJ80" s="26"/>
      <c r="AK80" s="26"/>
    </row>
    <row r="81" spans="1:37" s="36" customFormat="1" ht="11.25" x14ac:dyDescent="0.2">
      <c r="A81" s="26"/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</row>
    <row r="82" spans="1:37" s="36" customFormat="1" ht="11.25" x14ac:dyDescent="0.2">
      <c r="A82" s="26"/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26"/>
      <c r="AK82" s="26"/>
    </row>
    <row r="83" spans="1:37" s="36" customFormat="1" ht="11.25" x14ac:dyDescent="0.2">
      <c r="A83" s="26"/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</row>
    <row r="84" spans="1:37" s="36" customFormat="1" ht="11.25" x14ac:dyDescent="0.2">
      <c r="A84" s="26"/>
      <c r="B84" s="26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  <c r="AF84" s="26"/>
      <c r="AG84" s="26"/>
      <c r="AH84" s="26"/>
      <c r="AI84" s="26"/>
      <c r="AJ84" s="26"/>
      <c r="AK84" s="26"/>
    </row>
    <row r="85" spans="1:37" s="36" customFormat="1" ht="11.25" x14ac:dyDescent="0.2">
      <c r="A85" s="26"/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</row>
    <row r="86" spans="1:37" s="36" customFormat="1" ht="11.25" x14ac:dyDescent="0.2">
      <c r="A86" s="26"/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</row>
    <row r="87" spans="1:37" s="36" customFormat="1" ht="11.25" x14ac:dyDescent="0.2">
      <c r="A87" s="26"/>
      <c r="B87" s="26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  <c r="AF87" s="26"/>
      <c r="AG87" s="26"/>
      <c r="AH87" s="26"/>
      <c r="AI87" s="26"/>
      <c r="AJ87" s="26"/>
      <c r="AK87" s="26"/>
    </row>
  </sheetData>
  <customSheetViews>
    <customSheetView guid="{B7440494-8EA9-4463-9947-E5D20E74049D}" showGridLines="0">
      <pane xSplit="1" ySplit="10" topLeftCell="AC11" activePane="bottomRight" state="frozen"/>
      <selection pane="bottomRight" activeCell="AJ16" sqref="AJ16"/>
      <colBreaks count="4" manualBreakCount="4">
        <brk id="9" max="22" man="1"/>
        <brk id="17" max="22" man="1"/>
        <brk id="25" max="22" man="1"/>
        <brk id="33" max="22" man="1"/>
      </colBreaks>
      <pageMargins left="0" right="0" top="0.78740157480314965" bottom="0" header="0" footer="0"/>
      <printOptions horizontalCentered="1"/>
      <pageSetup paperSize="9" orientation="landscape" r:id="rId1"/>
      <headerFooter alignWithMargins="0">
        <oddHeader>&amp;R&amp;P/&amp;N</oddHeader>
      </headerFooter>
    </customSheetView>
    <customSheetView guid="{6D89F6EF-F5AD-478F-979A-5AF1BC78EF91}" showGridLines="0">
      <pane xSplit="2" ySplit="9" topLeftCell="C10" activePane="bottomRight" state="frozen"/>
      <selection pane="bottomRight" activeCell="C10" sqref="C10"/>
      <colBreaks count="3" manualBreakCount="3">
        <brk id="9" max="22" man="1"/>
        <brk id="25" max="22" man="1"/>
        <brk id="41" max="22" man="1"/>
      </colBreaks>
      <pageMargins left="0" right="0" top="1.1811023622047245" bottom="0" header="0" footer="0"/>
      <printOptions horizontalCentered="1"/>
      <pageSetup paperSize="9" orientation="landscape" r:id="rId2"/>
      <headerFooter alignWithMargins="0"/>
    </customSheetView>
    <customSheetView guid="{A9134056-6B1C-4A42-AFE9-9712EF3EF3D4}" showPageBreaks="1" showGridLines="0" printArea="1">
      <pane xSplit="2" ySplit="9" topLeftCell="C10" activePane="bottomRight" state="frozen"/>
      <selection pane="bottomRight" activeCell="C10" sqref="C10"/>
      <colBreaks count="4" manualBreakCount="4">
        <brk id="9" max="22" man="1"/>
        <brk id="18" max="22" man="1"/>
        <brk id="25" max="22" man="1"/>
        <brk id="41" max="22" man="1"/>
      </colBreaks>
      <pageMargins left="0" right="0" top="1.1811023622047245" bottom="0" header="0" footer="0"/>
      <printOptions horizontalCentered="1"/>
      <pageSetup paperSize="9" orientation="landscape" r:id="rId3"/>
      <headerFooter alignWithMargins="0"/>
    </customSheetView>
  </customSheetViews>
  <hyperlinks>
    <hyperlink ref="AO6" location="Índex!E9" display="Índex"/>
  </hyperlinks>
  <printOptions horizontalCentered="1" gridLinesSet="0"/>
  <pageMargins left="0" right="0" top="0.39370078740157483" bottom="0" header="0" footer="0"/>
  <pageSetup paperSize="9" scale="96" orientation="landscape" r:id="rId4"/>
  <headerFooter alignWithMargins="0">
    <oddHeader>&amp;R&amp;P/&amp;N</oddHeader>
  </headerFooter>
  <colBreaks count="4" manualBreakCount="4">
    <brk id="9" max="22" man="1"/>
    <brk id="17" max="22" man="1"/>
    <brk id="25" max="22" man="1"/>
    <brk id="33" max="22" man="1"/>
  </colBreaks>
  <drawing r:id="rId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9"/>
  <dimension ref="A1:HJ93"/>
  <sheetViews>
    <sheetView showGridLines="0" zoomScaleNormal="100" workbookViewId="0">
      <pane xSplit="1" ySplit="9" topLeftCell="B10" activePane="bottomRight" state="frozen"/>
      <selection activeCell="E9" sqref="E9"/>
      <selection pane="topRight" activeCell="E9" sqref="E9"/>
      <selection pane="bottomLeft" activeCell="E9" sqref="E9"/>
      <selection pane="bottomRight" activeCell="E6" sqref="E6"/>
    </sheetView>
  </sheetViews>
  <sheetFormatPr defaultColWidth="12.5703125" defaultRowHeight="12.75" x14ac:dyDescent="0.2"/>
  <cols>
    <col min="1" max="1" width="50.28515625" style="26" customWidth="1"/>
    <col min="2" max="16384" width="12.5703125" style="17"/>
  </cols>
  <sheetData>
    <row r="1" spans="1:218" s="144" customFormat="1" ht="15" customHeight="1" x14ac:dyDescent="0.2">
      <c r="A1" s="139"/>
      <c r="B1" s="140"/>
      <c r="C1" s="140"/>
      <c r="D1" s="140"/>
      <c r="E1" s="140"/>
      <c r="F1" s="141"/>
      <c r="G1" s="598"/>
      <c r="H1" s="140"/>
      <c r="I1" s="140"/>
      <c r="J1" s="598"/>
      <c r="K1" s="598"/>
      <c r="L1" s="598"/>
      <c r="M1" s="598"/>
      <c r="N1" s="598"/>
      <c r="O1" s="598"/>
      <c r="P1" s="598"/>
      <c r="Q1" s="598"/>
      <c r="R1" s="598"/>
      <c r="S1" s="598"/>
      <c r="T1" s="598"/>
      <c r="U1" s="598"/>
      <c r="V1" s="598"/>
      <c r="W1" s="598"/>
      <c r="X1" s="598"/>
      <c r="Y1" s="598"/>
      <c r="Z1" s="598"/>
      <c r="AA1" s="598"/>
      <c r="AB1" s="598"/>
      <c r="AC1" s="598"/>
      <c r="AD1" s="598"/>
      <c r="AE1" s="598"/>
      <c r="AF1" s="598"/>
      <c r="AG1" s="598"/>
      <c r="AH1" s="598"/>
      <c r="AI1" s="598"/>
      <c r="AJ1" s="598"/>
      <c r="AK1" s="598"/>
      <c r="AL1" s="598"/>
      <c r="AM1" s="598"/>
      <c r="AN1" s="598"/>
      <c r="AO1" s="598"/>
      <c r="AP1" s="598"/>
      <c r="AQ1" s="598"/>
      <c r="AR1" s="598"/>
      <c r="AS1" s="143"/>
      <c r="AT1" s="598"/>
      <c r="AU1" s="143"/>
      <c r="AV1" s="598"/>
      <c r="AW1" s="143"/>
      <c r="AX1" s="598"/>
      <c r="AY1" s="143"/>
      <c r="AZ1" s="598"/>
      <c r="BA1" s="143"/>
      <c r="BB1" s="598"/>
      <c r="BC1" s="143"/>
      <c r="BD1" s="598"/>
      <c r="BE1" s="143"/>
      <c r="BF1" s="598"/>
      <c r="BG1" s="143"/>
      <c r="BH1" s="598"/>
      <c r="BI1" s="143"/>
      <c r="BJ1" s="598"/>
      <c r="BK1" s="143"/>
      <c r="BL1" s="598"/>
      <c r="BM1" s="143"/>
      <c r="BN1" s="598"/>
      <c r="BO1" s="143"/>
      <c r="BP1" s="598"/>
      <c r="BQ1" s="143"/>
      <c r="BR1" s="598"/>
      <c r="BS1" s="143"/>
      <c r="BT1" s="598"/>
      <c r="BU1" s="143"/>
      <c r="BV1" s="598"/>
      <c r="BW1" s="143"/>
      <c r="BX1" s="598"/>
      <c r="BY1" s="143"/>
      <c r="BZ1" s="141"/>
      <c r="CA1" s="141"/>
      <c r="CB1" s="598"/>
      <c r="CC1" s="143"/>
      <c r="CD1" s="140"/>
      <c r="CE1" s="140"/>
      <c r="CF1" s="140"/>
      <c r="CG1" s="140"/>
      <c r="CH1" s="140"/>
      <c r="CI1" s="143"/>
      <c r="CJ1" s="140"/>
      <c r="CK1" s="143"/>
      <c r="CL1" s="140"/>
      <c r="CM1" s="140"/>
      <c r="CN1" s="140"/>
      <c r="CO1" s="139"/>
      <c r="CP1" s="139"/>
      <c r="CQ1" s="598"/>
      <c r="CR1" s="143"/>
      <c r="CS1" s="598"/>
      <c r="CT1" s="143"/>
      <c r="CU1" s="598"/>
      <c r="CV1" s="143"/>
      <c r="CW1" s="598"/>
      <c r="CX1" s="143"/>
      <c r="CY1" s="598"/>
      <c r="CZ1" s="143"/>
      <c r="DA1" s="598"/>
      <c r="DB1" s="143"/>
      <c r="DC1" s="598"/>
      <c r="DD1" s="143"/>
      <c r="DE1" s="598"/>
      <c r="DF1" s="143"/>
      <c r="DG1" s="598"/>
      <c r="DH1" s="143"/>
      <c r="DI1" s="598"/>
      <c r="DJ1" s="143"/>
      <c r="DK1" s="598"/>
      <c r="DL1" s="143"/>
      <c r="DM1" s="598"/>
      <c r="DN1" s="143"/>
      <c r="DO1" s="598"/>
      <c r="DP1" s="143"/>
      <c r="DQ1" s="598"/>
      <c r="DR1" s="143"/>
      <c r="DS1" s="598"/>
      <c r="DT1" s="143"/>
      <c r="DU1" s="598"/>
      <c r="DV1" s="143"/>
      <c r="DW1" s="598"/>
      <c r="DX1" s="143"/>
      <c r="DY1" s="598"/>
      <c r="DZ1" s="143"/>
      <c r="EA1" s="598"/>
      <c r="EB1" s="143"/>
      <c r="EC1" s="598"/>
      <c r="ED1" s="143"/>
      <c r="EE1" s="141"/>
      <c r="EF1" s="141"/>
      <c r="EG1" s="598"/>
      <c r="EH1" s="143"/>
      <c r="EI1" s="140"/>
      <c r="EJ1" s="140"/>
      <c r="EK1" s="140"/>
      <c r="EL1" s="140"/>
      <c r="EM1" s="140"/>
      <c r="EN1" s="143"/>
      <c r="EO1" s="140"/>
      <c r="EP1" s="143"/>
      <c r="EQ1" s="140"/>
      <c r="ER1" s="140"/>
      <c r="ES1" s="140"/>
      <c r="ET1" s="139"/>
      <c r="EU1" s="139"/>
      <c r="EV1" s="598"/>
      <c r="EW1" s="143"/>
      <c r="EX1" s="598"/>
      <c r="EY1" s="143"/>
      <c r="EZ1" s="598"/>
      <c r="FA1" s="143"/>
      <c r="FB1" s="598"/>
      <c r="FC1" s="143"/>
      <c r="FD1" s="598"/>
      <c r="FE1" s="143"/>
      <c r="FF1" s="598"/>
      <c r="FG1" s="143"/>
      <c r="FH1" s="598"/>
      <c r="FI1" s="143"/>
      <c r="FJ1" s="598"/>
      <c r="FK1" s="143"/>
      <c r="FL1" s="598"/>
      <c r="FM1" s="143"/>
      <c r="FN1" s="598"/>
      <c r="FO1" s="143"/>
      <c r="FP1" s="598"/>
      <c r="FQ1" s="143"/>
      <c r="FR1" s="598"/>
      <c r="FS1" s="143"/>
      <c r="FT1" s="598"/>
      <c r="FU1" s="143"/>
      <c r="FV1" s="598"/>
      <c r="FW1" s="143"/>
      <c r="FX1" s="598"/>
      <c r="FY1" s="143"/>
      <c r="FZ1" s="598"/>
      <c r="GA1" s="143"/>
      <c r="GB1" s="598"/>
      <c r="GC1" s="143"/>
      <c r="GD1" s="598"/>
      <c r="GE1" s="143"/>
      <c r="GF1" s="598"/>
      <c r="GG1" s="143"/>
      <c r="GH1" s="598"/>
      <c r="GI1" s="143"/>
      <c r="GJ1" s="141"/>
      <c r="GK1" s="141"/>
      <c r="GL1" s="598"/>
      <c r="GM1" s="143"/>
      <c r="GN1" s="140"/>
      <c r="GO1" s="140"/>
      <c r="GP1" s="140"/>
      <c r="GQ1" s="140"/>
      <c r="GR1" s="140"/>
      <c r="GS1" s="143"/>
      <c r="GT1" s="140"/>
      <c r="GU1" s="143"/>
      <c r="GV1" s="140"/>
      <c r="GW1" s="140"/>
      <c r="GX1" s="140"/>
      <c r="GY1" s="139"/>
      <c r="GZ1" s="139"/>
      <c r="HA1" s="598"/>
      <c r="HB1" s="143"/>
      <c r="HC1" s="598"/>
      <c r="HD1" s="143"/>
      <c r="HE1" s="598"/>
      <c r="HF1" s="143"/>
      <c r="HG1" s="598"/>
      <c r="HH1" s="143"/>
      <c r="HI1" s="598"/>
      <c r="HJ1" s="143"/>
    </row>
    <row r="2" spans="1:218" s="144" customFormat="1" ht="15" customHeight="1" x14ac:dyDescent="0.2">
      <c r="A2" s="139"/>
      <c r="B2" s="140"/>
      <c r="C2" s="140"/>
      <c r="D2" s="140"/>
      <c r="E2" s="140"/>
      <c r="F2" s="141"/>
      <c r="G2" s="598"/>
      <c r="H2" s="140"/>
      <c r="I2" s="140"/>
      <c r="J2" s="598"/>
      <c r="K2" s="598"/>
      <c r="L2" s="598"/>
      <c r="M2" s="598"/>
      <c r="N2" s="598"/>
      <c r="O2" s="598"/>
      <c r="P2" s="598"/>
      <c r="Q2" s="598"/>
      <c r="R2" s="598"/>
      <c r="S2" s="598"/>
      <c r="T2" s="598"/>
      <c r="U2" s="598"/>
      <c r="V2" s="598"/>
      <c r="W2" s="598"/>
      <c r="X2" s="598"/>
      <c r="Y2" s="598"/>
      <c r="Z2" s="598"/>
      <c r="AA2" s="598"/>
      <c r="AB2" s="598"/>
      <c r="AC2" s="598"/>
      <c r="AD2" s="598"/>
      <c r="AE2" s="598"/>
      <c r="AF2" s="598"/>
      <c r="AG2" s="598"/>
      <c r="AH2" s="598"/>
      <c r="AI2" s="598"/>
      <c r="AJ2" s="598"/>
      <c r="AK2" s="598"/>
      <c r="AL2" s="598"/>
      <c r="AM2" s="598"/>
      <c r="AN2" s="598"/>
      <c r="AO2" s="598"/>
      <c r="AP2" s="598"/>
      <c r="AQ2" s="598"/>
      <c r="AR2" s="598"/>
      <c r="AS2" s="143"/>
      <c r="AT2" s="598"/>
      <c r="AU2" s="143"/>
      <c r="AV2" s="598"/>
      <c r="AW2" s="143"/>
      <c r="AX2" s="598"/>
      <c r="AY2" s="143"/>
      <c r="AZ2" s="598"/>
      <c r="BA2" s="143"/>
      <c r="BB2" s="598"/>
      <c r="BC2" s="143"/>
      <c r="BD2" s="598"/>
      <c r="BE2" s="143"/>
      <c r="BF2" s="598"/>
      <c r="BG2" s="143"/>
      <c r="BH2" s="598"/>
      <c r="BI2" s="143"/>
      <c r="BJ2" s="598"/>
      <c r="BK2" s="143"/>
      <c r="BL2" s="598"/>
      <c r="BM2" s="143"/>
      <c r="BN2" s="598"/>
      <c r="BO2" s="143"/>
      <c r="BP2" s="598"/>
      <c r="BQ2" s="143"/>
      <c r="BR2" s="598"/>
      <c r="BS2" s="143"/>
      <c r="BT2" s="598"/>
      <c r="BU2" s="143"/>
      <c r="BV2" s="598"/>
      <c r="BW2" s="143"/>
      <c r="BX2" s="598"/>
      <c r="BY2" s="143"/>
      <c r="BZ2" s="141"/>
      <c r="CA2" s="141"/>
      <c r="CB2" s="598"/>
      <c r="CC2" s="143"/>
      <c r="CD2" s="140"/>
      <c r="CE2" s="140"/>
      <c r="CF2" s="140"/>
      <c r="CG2" s="140"/>
      <c r="CH2" s="140"/>
      <c r="CI2" s="143"/>
      <c r="CJ2" s="140"/>
      <c r="CK2" s="143"/>
      <c r="CL2" s="140"/>
      <c r="CM2" s="140"/>
      <c r="CN2" s="140"/>
      <c r="CO2" s="139"/>
      <c r="CP2" s="139"/>
      <c r="CQ2" s="598"/>
      <c r="CR2" s="143"/>
      <c r="CS2" s="598"/>
      <c r="CT2" s="143"/>
      <c r="CU2" s="598"/>
      <c r="CV2" s="143"/>
      <c r="CW2" s="598"/>
      <c r="CX2" s="143"/>
      <c r="CY2" s="598"/>
      <c r="CZ2" s="143"/>
      <c r="DA2" s="598"/>
      <c r="DB2" s="143"/>
      <c r="DC2" s="598"/>
      <c r="DD2" s="143"/>
      <c r="DE2" s="598"/>
      <c r="DF2" s="143"/>
      <c r="DG2" s="598"/>
      <c r="DH2" s="143"/>
      <c r="DI2" s="598"/>
      <c r="DJ2" s="143"/>
      <c r="DK2" s="598"/>
      <c r="DL2" s="143"/>
      <c r="DM2" s="598"/>
      <c r="DN2" s="143"/>
      <c r="DO2" s="598"/>
      <c r="DP2" s="143"/>
      <c r="DQ2" s="598"/>
      <c r="DR2" s="143"/>
      <c r="DS2" s="598"/>
      <c r="DT2" s="143"/>
      <c r="DU2" s="598"/>
      <c r="DV2" s="143"/>
      <c r="DW2" s="598"/>
      <c r="DX2" s="143"/>
      <c r="DY2" s="598"/>
      <c r="DZ2" s="143"/>
      <c r="EA2" s="598"/>
      <c r="EB2" s="143"/>
      <c r="EC2" s="598"/>
      <c r="ED2" s="143"/>
      <c r="EE2" s="141"/>
      <c r="EF2" s="141"/>
      <c r="EG2" s="598"/>
      <c r="EH2" s="143"/>
      <c r="EI2" s="140"/>
      <c r="EJ2" s="140"/>
      <c r="EK2" s="140"/>
      <c r="EL2" s="140"/>
      <c r="EM2" s="140"/>
      <c r="EN2" s="143"/>
      <c r="EO2" s="140"/>
      <c r="EP2" s="143"/>
      <c r="EQ2" s="140"/>
      <c r="ER2" s="140"/>
      <c r="ES2" s="140"/>
      <c r="ET2" s="139"/>
      <c r="EU2" s="139"/>
      <c r="EV2" s="598"/>
      <c r="EW2" s="143"/>
      <c r="EX2" s="598"/>
      <c r="EY2" s="143"/>
      <c r="EZ2" s="598"/>
      <c r="FA2" s="143"/>
      <c r="FB2" s="598"/>
      <c r="FC2" s="143"/>
      <c r="FD2" s="598"/>
      <c r="FE2" s="143"/>
      <c r="FF2" s="598"/>
      <c r="FG2" s="143"/>
      <c r="FH2" s="598"/>
      <c r="FI2" s="143"/>
      <c r="FJ2" s="598"/>
      <c r="FK2" s="143"/>
      <c r="FL2" s="598"/>
      <c r="FM2" s="143"/>
      <c r="FN2" s="598"/>
      <c r="FO2" s="143"/>
      <c r="FP2" s="598"/>
      <c r="FQ2" s="143"/>
      <c r="FR2" s="598"/>
      <c r="FS2" s="143"/>
      <c r="FT2" s="598"/>
      <c r="FU2" s="143"/>
      <c r="FV2" s="598"/>
      <c r="FW2" s="143"/>
      <c r="FX2" s="598"/>
      <c r="FY2" s="143"/>
      <c r="FZ2" s="598"/>
      <c r="GA2" s="143"/>
      <c r="GB2" s="598"/>
      <c r="GC2" s="143"/>
      <c r="GD2" s="598"/>
      <c r="GE2" s="143"/>
      <c r="GF2" s="598"/>
      <c r="GG2" s="143"/>
      <c r="GH2" s="598"/>
      <c r="GI2" s="143"/>
      <c r="GJ2" s="141"/>
      <c r="GK2" s="141"/>
      <c r="GL2" s="598"/>
      <c r="GM2" s="143"/>
      <c r="GN2" s="140"/>
      <c r="GO2" s="140"/>
      <c r="GP2" s="140"/>
      <c r="GQ2" s="140"/>
      <c r="GR2" s="140"/>
      <c r="GS2" s="143"/>
      <c r="GT2" s="140"/>
      <c r="GU2" s="143"/>
      <c r="GV2" s="140"/>
      <c r="GW2" s="140"/>
      <c r="GX2" s="140"/>
      <c r="GY2" s="139"/>
      <c r="GZ2" s="139"/>
      <c r="HA2" s="598"/>
      <c r="HB2" s="143"/>
      <c r="HC2" s="598"/>
      <c r="HD2" s="143"/>
      <c r="HE2" s="598"/>
      <c r="HF2" s="143"/>
      <c r="HG2" s="598"/>
      <c r="HH2" s="143"/>
      <c r="HI2" s="598"/>
      <c r="HJ2" s="143"/>
    </row>
    <row r="3" spans="1:218" s="144" customFormat="1" ht="15" customHeight="1" x14ac:dyDescent="0.2">
      <c r="A3" s="139"/>
      <c r="B3" s="140"/>
      <c r="C3" s="140"/>
      <c r="D3" s="140"/>
      <c r="E3" s="140"/>
      <c r="F3" s="141"/>
      <c r="G3" s="598"/>
      <c r="H3" s="140"/>
      <c r="I3" s="140"/>
      <c r="J3" s="598"/>
      <c r="K3" s="598"/>
      <c r="L3" s="598"/>
      <c r="M3" s="598"/>
      <c r="N3" s="598"/>
      <c r="O3" s="598"/>
      <c r="P3" s="598"/>
      <c r="Q3" s="598"/>
      <c r="R3" s="598"/>
      <c r="S3" s="598"/>
      <c r="T3" s="598"/>
      <c r="U3" s="598"/>
      <c r="V3" s="598"/>
      <c r="W3" s="598"/>
      <c r="X3" s="598"/>
      <c r="Y3" s="598"/>
      <c r="Z3" s="598"/>
      <c r="AA3" s="598"/>
      <c r="AB3" s="598"/>
      <c r="AC3" s="598"/>
      <c r="AD3" s="598"/>
      <c r="AE3" s="598"/>
      <c r="AF3" s="598"/>
      <c r="AG3" s="598"/>
      <c r="AH3" s="598"/>
      <c r="AI3" s="598"/>
      <c r="AJ3" s="598"/>
      <c r="AK3" s="598"/>
      <c r="AL3" s="598"/>
      <c r="AM3" s="598"/>
      <c r="AN3" s="598"/>
      <c r="AO3" s="598"/>
      <c r="AP3" s="598"/>
      <c r="AQ3" s="598"/>
      <c r="AR3" s="598"/>
      <c r="AS3" s="143"/>
      <c r="AT3" s="598"/>
      <c r="AU3" s="143"/>
      <c r="AV3" s="598"/>
      <c r="AW3" s="143"/>
      <c r="AX3" s="598"/>
      <c r="AY3" s="143"/>
      <c r="AZ3" s="598"/>
      <c r="BA3" s="143"/>
      <c r="BB3" s="598"/>
      <c r="BC3" s="143"/>
      <c r="BD3" s="598"/>
      <c r="BE3" s="143"/>
      <c r="BF3" s="598"/>
      <c r="BG3" s="143"/>
      <c r="BH3" s="598"/>
      <c r="BI3" s="143"/>
      <c r="BJ3" s="598"/>
      <c r="BK3" s="143"/>
      <c r="BL3" s="598"/>
      <c r="BM3" s="143"/>
      <c r="BN3" s="598"/>
      <c r="BO3" s="143"/>
      <c r="BP3" s="598"/>
      <c r="BQ3" s="143"/>
      <c r="BR3" s="598"/>
      <c r="BS3" s="143"/>
      <c r="BT3" s="598"/>
      <c r="BU3" s="143"/>
      <c r="BV3" s="598"/>
      <c r="BW3" s="143"/>
      <c r="BX3" s="598"/>
      <c r="BY3" s="143"/>
      <c r="BZ3" s="141"/>
      <c r="CA3" s="141"/>
      <c r="CB3" s="598"/>
      <c r="CC3" s="143"/>
      <c r="CD3" s="140"/>
      <c r="CE3" s="140"/>
      <c r="CF3" s="140"/>
      <c r="CG3" s="140"/>
      <c r="CH3" s="140"/>
      <c r="CI3" s="143"/>
      <c r="CJ3" s="140"/>
      <c r="CK3" s="143"/>
      <c r="CL3" s="140"/>
      <c r="CM3" s="140"/>
      <c r="CN3" s="140"/>
      <c r="CO3" s="139"/>
      <c r="CP3" s="139"/>
      <c r="CQ3" s="598"/>
      <c r="CR3" s="143"/>
      <c r="CS3" s="598"/>
      <c r="CT3" s="143"/>
      <c r="CU3" s="598"/>
      <c r="CV3" s="143"/>
      <c r="CW3" s="598"/>
      <c r="CX3" s="143"/>
      <c r="CY3" s="598"/>
      <c r="CZ3" s="143"/>
      <c r="DA3" s="598"/>
      <c r="DB3" s="143"/>
      <c r="DC3" s="598"/>
      <c r="DD3" s="143"/>
      <c r="DE3" s="598"/>
      <c r="DF3" s="143"/>
      <c r="DG3" s="598"/>
      <c r="DH3" s="143"/>
      <c r="DI3" s="598"/>
      <c r="DJ3" s="143"/>
      <c r="DK3" s="598"/>
      <c r="DL3" s="143"/>
      <c r="DM3" s="598"/>
      <c r="DN3" s="143"/>
      <c r="DO3" s="598"/>
      <c r="DP3" s="143"/>
      <c r="DQ3" s="598"/>
      <c r="DR3" s="143"/>
      <c r="DS3" s="598"/>
      <c r="DT3" s="143"/>
      <c r="DU3" s="598"/>
      <c r="DV3" s="143"/>
      <c r="DW3" s="598"/>
      <c r="DX3" s="143"/>
      <c r="DY3" s="598"/>
      <c r="DZ3" s="143"/>
      <c r="EA3" s="598"/>
      <c r="EB3" s="143"/>
      <c r="EC3" s="598"/>
      <c r="ED3" s="143"/>
      <c r="EE3" s="141"/>
      <c r="EF3" s="141"/>
      <c r="EG3" s="598"/>
      <c r="EH3" s="143"/>
      <c r="EI3" s="140"/>
      <c r="EJ3" s="140"/>
      <c r="EK3" s="140"/>
      <c r="EL3" s="140"/>
      <c r="EM3" s="140"/>
      <c r="EN3" s="143"/>
      <c r="EO3" s="140"/>
      <c r="EP3" s="143"/>
      <c r="EQ3" s="140"/>
      <c r="ER3" s="140"/>
      <c r="ES3" s="140"/>
      <c r="ET3" s="139"/>
      <c r="EU3" s="139"/>
      <c r="EV3" s="598"/>
      <c r="EW3" s="143"/>
      <c r="EX3" s="598"/>
      <c r="EY3" s="143"/>
      <c r="EZ3" s="598"/>
      <c r="FA3" s="143"/>
      <c r="FB3" s="598"/>
      <c r="FC3" s="143"/>
      <c r="FD3" s="598"/>
      <c r="FE3" s="143"/>
      <c r="FF3" s="598"/>
      <c r="FG3" s="143"/>
      <c r="FH3" s="598"/>
      <c r="FI3" s="143"/>
      <c r="FJ3" s="598"/>
      <c r="FK3" s="143"/>
      <c r="FL3" s="598"/>
      <c r="FM3" s="143"/>
      <c r="FN3" s="598"/>
      <c r="FO3" s="143"/>
      <c r="FP3" s="598"/>
      <c r="FQ3" s="143"/>
      <c r="FR3" s="598"/>
      <c r="FS3" s="143"/>
      <c r="FT3" s="598"/>
      <c r="FU3" s="143"/>
      <c r="FV3" s="598"/>
      <c r="FW3" s="143"/>
      <c r="FX3" s="598"/>
      <c r="FY3" s="143"/>
      <c r="FZ3" s="598"/>
      <c r="GA3" s="143"/>
      <c r="GB3" s="598"/>
      <c r="GC3" s="143"/>
      <c r="GD3" s="598"/>
      <c r="GE3" s="143"/>
      <c r="GF3" s="598"/>
      <c r="GG3" s="143"/>
      <c r="GH3" s="598"/>
      <c r="GI3" s="143"/>
      <c r="GJ3" s="141"/>
      <c r="GK3" s="141"/>
      <c r="GL3" s="598"/>
      <c r="GM3" s="143"/>
      <c r="GN3" s="140"/>
      <c r="GO3" s="140"/>
      <c r="GP3" s="140"/>
      <c r="GQ3" s="140"/>
      <c r="GR3" s="140"/>
      <c r="GS3" s="143"/>
      <c r="GT3" s="140"/>
      <c r="GU3" s="143"/>
      <c r="GV3" s="140"/>
      <c r="GW3" s="140"/>
      <c r="GX3" s="140"/>
      <c r="GY3" s="139"/>
      <c r="GZ3" s="139"/>
      <c r="HA3" s="598"/>
      <c r="HB3" s="143"/>
      <c r="HC3" s="598"/>
      <c r="HD3" s="143"/>
      <c r="HE3" s="598"/>
      <c r="HF3" s="143"/>
      <c r="HG3" s="598"/>
      <c r="HH3" s="143"/>
      <c r="HI3" s="598"/>
      <c r="HJ3" s="143"/>
    </row>
    <row r="4" spans="1:218" s="144" customFormat="1" ht="15" customHeight="1" x14ac:dyDescent="0.2">
      <c r="A4" s="145"/>
      <c r="B4" s="146"/>
      <c r="C4" s="146"/>
      <c r="D4" s="146"/>
      <c r="E4" s="146"/>
      <c r="F4" s="147"/>
      <c r="G4" s="604"/>
      <c r="H4" s="146"/>
      <c r="I4" s="146"/>
      <c r="J4" s="604"/>
      <c r="K4" s="604"/>
      <c r="L4" s="604"/>
      <c r="M4" s="604"/>
      <c r="N4" s="604"/>
      <c r="O4" s="604"/>
      <c r="P4" s="604"/>
      <c r="Q4" s="604"/>
      <c r="R4" s="604"/>
      <c r="S4" s="604"/>
      <c r="T4" s="604"/>
      <c r="U4" s="604"/>
      <c r="V4" s="604"/>
      <c r="W4" s="604"/>
      <c r="X4" s="604"/>
      <c r="Y4" s="604"/>
      <c r="Z4" s="604"/>
      <c r="AA4" s="604"/>
      <c r="AB4" s="604"/>
      <c r="AC4" s="604"/>
      <c r="AD4" s="604"/>
      <c r="AE4" s="604"/>
      <c r="AF4" s="604"/>
      <c r="AG4" s="604"/>
      <c r="AH4" s="149"/>
      <c r="AI4" s="149"/>
      <c r="AJ4" s="149"/>
      <c r="AK4" s="150"/>
      <c r="AL4" s="150"/>
      <c r="AM4" s="150"/>
      <c r="AN4" s="150"/>
      <c r="AO4" s="150"/>
      <c r="AP4" s="150"/>
      <c r="AQ4" s="150"/>
      <c r="AR4" s="150"/>
    </row>
    <row r="5" spans="1:218" s="25" customFormat="1" ht="15" customHeight="1" thickBot="1" x14ac:dyDescent="0.35">
      <c r="A5" s="190" t="s">
        <v>460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59"/>
      <c r="AD5" s="59"/>
      <c r="AE5" s="59"/>
      <c r="AF5" s="59"/>
      <c r="AG5" s="59"/>
      <c r="AI5" s="114"/>
      <c r="AM5" s="114"/>
      <c r="AO5" s="134"/>
      <c r="AR5" s="65"/>
      <c r="AS5" s="136"/>
      <c r="AT5" s="137"/>
      <c r="AU5" s="137"/>
      <c r="AV5" s="135"/>
      <c r="AW5" s="137"/>
      <c r="AX5" s="137"/>
      <c r="AY5" s="137"/>
      <c r="AZ5" s="138"/>
    </row>
    <row r="6" spans="1:218" ht="13.5" thickTop="1" x14ac:dyDescent="0.2">
      <c r="A6" s="202"/>
      <c r="B6" s="400"/>
      <c r="C6" s="400"/>
      <c r="D6" s="400"/>
      <c r="E6" s="400" t="s">
        <v>662</v>
      </c>
    </row>
    <row r="7" spans="1:218" s="183" customFormat="1" ht="15" customHeight="1" x14ac:dyDescent="0.2">
      <c r="A7" s="182"/>
      <c r="B7" s="484" t="s">
        <v>71</v>
      </c>
      <c r="C7" s="591" t="s">
        <v>374</v>
      </c>
      <c r="D7" s="591" t="s">
        <v>376</v>
      </c>
      <c r="E7" s="664" t="s">
        <v>399</v>
      </c>
    </row>
    <row r="8" spans="1:218" s="178" customFormat="1" ht="9.9499999999999993" customHeight="1" x14ac:dyDescent="0.2">
      <c r="A8" s="184"/>
      <c r="B8" s="158"/>
      <c r="C8" s="158"/>
      <c r="D8" s="158"/>
      <c r="E8" s="158"/>
      <c r="F8" s="191"/>
      <c r="G8" s="191"/>
      <c r="H8" s="191"/>
      <c r="I8" s="191"/>
      <c r="J8" s="191"/>
      <c r="K8" s="191"/>
      <c r="L8" s="191"/>
      <c r="M8" s="191"/>
      <c r="N8" s="191"/>
      <c r="O8" s="191"/>
      <c r="P8" s="191"/>
      <c r="Q8" s="191"/>
      <c r="R8" s="191"/>
      <c r="S8" s="191"/>
      <c r="T8" s="191"/>
      <c r="U8" s="191"/>
      <c r="V8" s="191"/>
      <c r="W8" s="191"/>
      <c r="X8" s="191"/>
      <c r="Y8" s="191"/>
      <c r="Z8" s="191"/>
      <c r="AA8" s="191"/>
      <c r="AB8" s="191"/>
      <c r="AC8" s="191"/>
      <c r="AD8" s="191"/>
      <c r="AE8" s="191"/>
      <c r="AF8" s="191"/>
      <c r="AG8" s="191"/>
      <c r="AH8" s="191"/>
      <c r="AI8" s="191"/>
      <c r="AJ8" s="191"/>
      <c r="AK8" s="191"/>
      <c r="AL8" s="191"/>
      <c r="AM8" s="191"/>
      <c r="AN8" s="191"/>
      <c r="AO8" s="191"/>
    </row>
    <row r="9" spans="1:218" s="164" customFormat="1" ht="5.0999999999999996" customHeight="1" x14ac:dyDescent="0.2">
      <c r="A9" s="159"/>
      <c r="B9" s="159"/>
      <c r="C9" s="159"/>
      <c r="D9" s="159"/>
      <c r="E9" s="159"/>
    </row>
    <row r="10" spans="1:218" s="686" customFormat="1" ht="15" customHeight="1" x14ac:dyDescent="0.2">
      <c r="A10" s="145" t="s">
        <v>344</v>
      </c>
      <c r="B10" s="211">
        <f>SUM(B11:B13)</f>
        <v>12484</v>
      </c>
      <c r="C10" s="211">
        <f>SUM(C11:C13)</f>
        <v>12337</v>
      </c>
      <c r="D10" s="211">
        <f>SUM(D11:D13)</f>
        <v>14179</v>
      </c>
      <c r="E10" s="212">
        <f>SUM(E11:E13)</f>
        <v>13518.011</v>
      </c>
    </row>
    <row r="11" spans="1:218" ht="15" customHeight="1" x14ac:dyDescent="0.2">
      <c r="A11" s="139" t="s">
        <v>467</v>
      </c>
      <c r="B11" s="547">
        <v>9855</v>
      </c>
      <c r="C11" s="547">
        <v>9689</v>
      </c>
      <c r="D11" s="547">
        <v>11129</v>
      </c>
      <c r="E11" s="374">
        <v>11097.013000000001</v>
      </c>
    </row>
    <row r="12" spans="1:218" s="164" customFormat="1" ht="15" customHeight="1" x14ac:dyDescent="0.2">
      <c r="A12" s="139" t="s">
        <v>462</v>
      </c>
      <c r="B12" s="547">
        <v>2041</v>
      </c>
      <c r="C12" s="547">
        <v>2049</v>
      </c>
      <c r="D12" s="547">
        <v>1885</v>
      </c>
      <c r="E12" s="374">
        <v>1259.5550000000001</v>
      </c>
      <c r="F12" s="373"/>
      <c r="G12" s="373"/>
      <c r="H12" s="373"/>
      <c r="I12" s="373"/>
      <c r="J12" s="373"/>
      <c r="K12" s="373"/>
      <c r="L12" s="373"/>
      <c r="M12" s="373"/>
      <c r="N12" s="373"/>
      <c r="O12" s="373"/>
      <c r="P12" s="373"/>
      <c r="Q12" s="373"/>
      <c r="R12" s="373"/>
      <c r="S12" s="373"/>
      <c r="T12" s="373"/>
      <c r="U12" s="373"/>
      <c r="V12" s="373"/>
      <c r="W12" s="373"/>
      <c r="X12" s="373"/>
      <c r="Y12" s="373"/>
      <c r="Z12" s="373"/>
      <c r="AA12" s="373"/>
      <c r="AB12" s="373"/>
      <c r="AC12" s="373"/>
      <c r="AD12" s="373"/>
      <c r="AE12" s="373"/>
      <c r="AF12" s="373"/>
      <c r="AG12" s="373"/>
      <c r="AH12" s="373"/>
      <c r="AI12" s="373"/>
      <c r="AJ12" s="373"/>
      <c r="AK12" s="373"/>
      <c r="AL12" s="373"/>
      <c r="AM12" s="373"/>
      <c r="AN12" s="373"/>
      <c r="AO12" s="373"/>
      <c r="AP12" s="373"/>
      <c r="AQ12" s="373"/>
      <c r="AR12" s="373"/>
      <c r="AS12" s="373"/>
      <c r="AT12" s="373"/>
      <c r="AU12" s="373"/>
      <c r="AV12" s="373"/>
      <c r="AW12" s="373"/>
      <c r="AX12" s="373"/>
      <c r="AY12" s="373"/>
      <c r="AZ12" s="373"/>
      <c r="BA12" s="373"/>
      <c r="BB12" s="373"/>
      <c r="BC12" s="373"/>
      <c r="BD12" s="373"/>
      <c r="BE12" s="373"/>
      <c r="BF12" s="373"/>
      <c r="BG12" s="373"/>
      <c r="BH12" s="373"/>
      <c r="BI12" s="373"/>
      <c r="BJ12" s="373"/>
      <c r="BK12" s="373"/>
      <c r="BL12" s="373"/>
      <c r="BM12" s="373"/>
      <c r="BN12" s="373"/>
      <c r="BO12" s="373"/>
      <c r="BP12" s="373"/>
      <c r="BQ12" s="373"/>
      <c r="BR12" s="373"/>
      <c r="BS12" s="373"/>
      <c r="BT12" s="373"/>
      <c r="BU12" s="373"/>
      <c r="BV12" s="373"/>
      <c r="BW12" s="373"/>
      <c r="BX12" s="373"/>
      <c r="BY12" s="373"/>
      <c r="BZ12" s="373"/>
      <c r="CA12" s="373"/>
      <c r="CB12" s="373"/>
      <c r="CC12" s="374"/>
    </row>
    <row r="13" spans="1:218" s="164" customFormat="1" ht="15" customHeight="1" x14ac:dyDescent="0.2">
      <c r="A13" s="685" t="s">
        <v>463</v>
      </c>
      <c r="B13" s="547">
        <v>588</v>
      </c>
      <c r="C13" s="547">
        <v>599</v>
      </c>
      <c r="D13" s="547">
        <v>1165</v>
      </c>
      <c r="E13" s="374">
        <v>1161.443</v>
      </c>
      <c r="F13" s="373"/>
      <c r="G13" s="373"/>
      <c r="H13" s="373"/>
      <c r="I13" s="373"/>
      <c r="J13" s="373"/>
      <c r="K13" s="373"/>
      <c r="L13" s="373"/>
      <c r="M13" s="373"/>
      <c r="N13" s="373"/>
      <c r="O13" s="373"/>
      <c r="P13" s="373"/>
      <c r="Q13" s="373"/>
      <c r="R13" s="373"/>
      <c r="S13" s="373"/>
      <c r="T13" s="373"/>
      <c r="U13" s="373"/>
      <c r="V13" s="373"/>
      <c r="W13" s="373"/>
      <c r="X13" s="373"/>
      <c r="Y13" s="373"/>
      <c r="Z13" s="373"/>
      <c r="AA13" s="373"/>
      <c r="AB13" s="373"/>
      <c r="AC13" s="373"/>
      <c r="AD13" s="373"/>
      <c r="AE13" s="373"/>
      <c r="AF13" s="373"/>
      <c r="AG13" s="373"/>
      <c r="AH13" s="373"/>
      <c r="AI13" s="373"/>
      <c r="AJ13" s="373"/>
      <c r="AK13" s="373"/>
      <c r="AL13" s="373"/>
      <c r="AM13" s="373"/>
      <c r="AN13" s="373"/>
      <c r="AO13" s="373"/>
      <c r="AP13" s="373"/>
      <c r="AQ13" s="373"/>
      <c r="AR13" s="373"/>
      <c r="AS13" s="373"/>
      <c r="AT13" s="373"/>
      <c r="AU13" s="373"/>
      <c r="AV13" s="373"/>
      <c r="AW13" s="373"/>
      <c r="AX13" s="373"/>
      <c r="AY13" s="373"/>
      <c r="AZ13" s="373"/>
      <c r="BA13" s="373"/>
      <c r="BB13" s="373"/>
      <c r="BC13" s="373"/>
      <c r="BD13" s="373"/>
      <c r="BE13" s="373"/>
      <c r="BF13" s="373"/>
      <c r="BG13" s="373"/>
      <c r="BH13" s="373"/>
      <c r="BI13" s="373"/>
      <c r="BJ13" s="373"/>
      <c r="BK13" s="373"/>
      <c r="BL13" s="373"/>
      <c r="BM13" s="373"/>
      <c r="BN13" s="373"/>
      <c r="BO13" s="373"/>
      <c r="BP13" s="373"/>
      <c r="BQ13" s="373"/>
      <c r="BR13" s="373"/>
      <c r="BS13" s="373"/>
      <c r="BT13" s="373"/>
      <c r="BU13" s="373"/>
      <c r="BV13" s="373"/>
      <c r="BW13" s="373"/>
      <c r="BX13" s="373"/>
      <c r="BY13" s="373"/>
      <c r="BZ13" s="373"/>
      <c r="CA13" s="373"/>
      <c r="CB13" s="373"/>
      <c r="CC13" s="374"/>
    </row>
    <row r="14" spans="1:218" s="164" customFormat="1" ht="15" customHeight="1" x14ac:dyDescent="0.2">
      <c r="A14" s="503" t="s">
        <v>345</v>
      </c>
      <c r="B14" s="548">
        <f>B15+B24</f>
        <v>490230</v>
      </c>
      <c r="C14" s="548">
        <f>C15+C24</f>
        <v>481229</v>
      </c>
      <c r="D14" s="548">
        <f>D15+D24</f>
        <v>472684.92300000007</v>
      </c>
      <c r="E14" s="465">
        <f>E15+E24</f>
        <v>479413.21499999997</v>
      </c>
      <c r="F14" s="373"/>
      <c r="G14" s="373"/>
      <c r="H14" s="373"/>
      <c r="I14" s="373"/>
      <c r="J14" s="373"/>
      <c r="K14" s="373"/>
      <c r="L14" s="373"/>
      <c r="M14" s="373"/>
      <c r="N14" s="373"/>
      <c r="O14" s="373"/>
      <c r="P14" s="373"/>
      <c r="Q14" s="373"/>
      <c r="R14" s="373"/>
      <c r="S14" s="373"/>
      <c r="T14" s="373"/>
      <c r="U14" s="373"/>
      <c r="V14" s="373"/>
      <c r="W14" s="373"/>
      <c r="X14" s="373"/>
      <c r="Y14" s="373"/>
      <c r="Z14" s="373"/>
      <c r="AA14" s="373"/>
      <c r="AB14" s="373"/>
      <c r="AC14" s="373"/>
      <c r="AD14" s="373"/>
      <c r="AE14" s="373"/>
      <c r="AF14" s="373"/>
      <c r="AG14" s="373"/>
      <c r="AH14" s="373"/>
      <c r="AI14" s="373"/>
      <c r="AJ14" s="373"/>
      <c r="AK14" s="373"/>
      <c r="AL14" s="373"/>
      <c r="AM14" s="373"/>
      <c r="AN14" s="373"/>
      <c r="AO14" s="373"/>
      <c r="AP14" s="373"/>
      <c r="AQ14" s="373"/>
      <c r="AR14" s="373"/>
      <c r="AS14" s="373"/>
      <c r="AT14" s="373"/>
      <c r="AU14" s="373"/>
      <c r="AV14" s="373"/>
      <c r="AW14" s="373"/>
      <c r="AX14" s="373"/>
      <c r="AY14" s="373"/>
      <c r="AZ14" s="373"/>
      <c r="BA14" s="373"/>
      <c r="BB14" s="373"/>
      <c r="BC14" s="373"/>
      <c r="BD14" s="373"/>
      <c r="BE14" s="373"/>
      <c r="BF14" s="373"/>
      <c r="BG14" s="373"/>
      <c r="BH14" s="373"/>
      <c r="BI14" s="373"/>
      <c r="BJ14" s="373"/>
      <c r="BK14" s="373"/>
      <c r="BL14" s="373"/>
      <c r="BM14" s="373"/>
      <c r="BN14" s="373"/>
      <c r="BO14" s="373"/>
      <c r="BP14" s="373"/>
      <c r="BQ14" s="373"/>
      <c r="BR14" s="373"/>
      <c r="BS14" s="373"/>
      <c r="BT14" s="373"/>
      <c r="BU14" s="373"/>
      <c r="BV14" s="373"/>
      <c r="BW14" s="373"/>
      <c r="BX14" s="373"/>
      <c r="BY14" s="373"/>
      <c r="BZ14" s="373"/>
      <c r="CA14" s="373"/>
      <c r="CB14" s="373"/>
      <c r="CC14" s="374"/>
    </row>
    <row r="15" spans="1:218" s="164" customFormat="1" ht="15" customHeight="1" x14ac:dyDescent="0.2">
      <c r="A15" s="145" t="s">
        <v>461</v>
      </c>
      <c r="B15" s="548">
        <f>SUM(B16:B23)</f>
        <v>318410</v>
      </c>
      <c r="C15" s="548">
        <f>SUM(C16:C23)</f>
        <v>309184</v>
      </c>
      <c r="D15" s="548">
        <f>SUM(D16:D23)</f>
        <v>300477.24100000004</v>
      </c>
      <c r="E15" s="465">
        <f>SUM(E16:E23)</f>
        <v>303943.76199999999</v>
      </c>
      <c r="F15" s="373"/>
      <c r="G15" s="373"/>
      <c r="H15" s="373"/>
      <c r="I15" s="373"/>
      <c r="J15" s="373"/>
      <c r="K15" s="373"/>
      <c r="L15" s="373"/>
      <c r="M15" s="373"/>
      <c r="N15" s="373"/>
      <c r="O15" s="373"/>
      <c r="P15" s="373"/>
      <c r="Q15" s="373"/>
      <c r="R15" s="373"/>
      <c r="S15" s="373"/>
      <c r="T15" s="373"/>
      <c r="U15" s="373"/>
      <c r="V15" s="373"/>
      <c r="W15" s="373"/>
      <c r="X15" s="373"/>
      <c r="Y15" s="373"/>
      <c r="Z15" s="373"/>
      <c r="AA15" s="373"/>
      <c r="AB15" s="373"/>
      <c r="AC15" s="373"/>
      <c r="AD15" s="373"/>
      <c r="AE15" s="373"/>
      <c r="AF15" s="373"/>
      <c r="AG15" s="373"/>
      <c r="AH15" s="373"/>
      <c r="AI15" s="373"/>
      <c r="AJ15" s="373"/>
      <c r="AK15" s="373"/>
      <c r="AL15" s="373"/>
      <c r="AM15" s="373"/>
      <c r="AN15" s="373"/>
      <c r="AO15" s="373"/>
      <c r="AP15" s="373"/>
      <c r="AQ15" s="373"/>
      <c r="AR15" s="373"/>
      <c r="AS15" s="373"/>
      <c r="AT15" s="373"/>
      <c r="AU15" s="373"/>
      <c r="AV15" s="373"/>
      <c r="AW15" s="373"/>
      <c r="AX15" s="373"/>
      <c r="AY15" s="373"/>
      <c r="AZ15" s="373"/>
      <c r="BA15" s="373"/>
      <c r="BB15" s="373"/>
      <c r="BC15" s="373"/>
      <c r="BD15" s="373"/>
      <c r="BE15" s="373"/>
      <c r="BF15" s="373"/>
      <c r="BG15" s="373"/>
      <c r="BH15" s="373"/>
      <c r="BI15" s="373"/>
      <c r="BJ15" s="373"/>
      <c r="BK15" s="373"/>
      <c r="BL15" s="373"/>
      <c r="BM15" s="373"/>
      <c r="BN15" s="373"/>
      <c r="BO15" s="373"/>
      <c r="BP15" s="373"/>
      <c r="BQ15" s="373"/>
      <c r="BR15" s="373"/>
      <c r="BS15" s="373"/>
      <c r="BT15" s="373"/>
      <c r="BU15" s="373"/>
      <c r="BV15" s="373"/>
      <c r="BW15" s="373"/>
      <c r="BX15" s="373"/>
      <c r="BY15" s="373"/>
      <c r="BZ15" s="373"/>
      <c r="CA15" s="373"/>
      <c r="CB15" s="373"/>
      <c r="CC15" s="374"/>
    </row>
    <row r="16" spans="1:218" s="164" customFormat="1" ht="15" customHeight="1" x14ac:dyDescent="0.2">
      <c r="A16" s="139" t="s">
        <v>464</v>
      </c>
      <c r="B16" s="373">
        <v>46429</v>
      </c>
      <c r="C16" s="373">
        <v>36728</v>
      </c>
      <c r="D16" s="373">
        <v>35311.748</v>
      </c>
      <c r="E16" s="374">
        <v>36380.49</v>
      </c>
      <c r="F16" s="373"/>
      <c r="G16" s="373"/>
      <c r="H16" s="373"/>
      <c r="I16" s="373"/>
      <c r="J16" s="373"/>
      <c r="K16" s="373"/>
      <c r="L16" s="373"/>
      <c r="M16" s="373"/>
      <c r="N16" s="373"/>
      <c r="O16" s="373"/>
      <c r="P16" s="373"/>
      <c r="Q16" s="373"/>
      <c r="R16" s="373"/>
      <c r="S16" s="373"/>
      <c r="T16" s="373"/>
      <c r="U16" s="373"/>
      <c r="V16" s="373"/>
      <c r="W16" s="373"/>
      <c r="X16" s="373"/>
      <c r="Y16" s="373"/>
      <c r="Z16" s="373"/>
      <c r="AA16" s="373"/>
      <c r="AB16" s="373"/>
      <c r="AC16" s="373"/>
      <c r="AD16" s="373"/>
      <c r="AE16" s="373"/>
      <c r="AF16" s="373"/>
      <c r="AG16" s="373"/>
      <c r="AH16" s="373"/>
      <c r="AI16" s="373"/>
      <c r="AJ16" s="373"/>
      <c r="AK16" s="373"/>
      <c r="AL16" s="373"/>
      <c r="AM16" s="373"/>
      <c r="AN16" s="373"/>
      <c r="AO16" s="373"/>
      <c r="AP16" s="373"/>
      <c r="AQ16" s="373"/>
      <c r="AR16" s="373"/>
      <c r="AS16" s="373"/>
      <c r="AT16" s="373"/>
      <c r="AU16" s="373"/>
      <c r="AV16" s="373"/>
      <c r="AW16" s="373"/>
      <c r="AX16" s="373"/>
      <c r="AY16" s="373"/>
      <c r="AZ16" s="373"/>
      <c r="BA16" s="373"/>
      <c r="BB16" s="373"/>
      <c r="BC16" s="373"/>
      <c r="BD16" s="373"/>
      <c r="BE16" s="373"/>
      <c r="BF16" s="373"/>
      <c r="BG16" s="373"/>
      <c r="BH16" s="373"/>
      <c r="BI16" s="373"/>
      <c r="BJ16" s="373"/>
      <c r="BK16" s="373"/>
      <c r="BL16" s="373"/>
      <c r="BM16" s="373"/>
      <c r="BN16" s="373"/>
      <c r="BO16" s="373"/>
      <c r="BP16" s="373"/>
      <c r="BQ16" s="373"/>
      <c r="BR16" s="373"/>
      <c r="BS16" s="373"/>
      <c r="BT16" s="373"/>
      <c r="BU16" s="373"/>
      <c r="BV16" s="373"/>
      <c r="BW16" s="373"/>
      <c r="BX16" s="373"/>
      <c r="BY16" s="373"/>
      <c r="BZ16" s="373"/>
      <c r="CA16" s="373"/>
      <c r="CB16" s="373"/>
      <c r="CC16" s="374"/>
    </row>
    <row r="17" spans="1:81" s="164" customFormat="1" ht="15" customHeight="1" x14ac:dyDescent="0.2">
      <c r="A17" s="139" t="s">
        <v>346</v>
      </c>
      <c r="B17" s="373">
        <v>34396</v>
      </c>
      <c r="C17" s="373">
        <v>32531</v>
      </c>
      <c r="D17" s="373">
        <v>31963.851999999999</v>
      </c>
      <c r="E17" s="374">
        <v>33564.694000000003</v>
      </c>
      <c r="F17" s="373"/>
      <c r="G17" s="373"/>
      <c r="H17" s="373"/>
      <c r="I17" s="373"/>
      <c r="J17" s="373"/>
      <c r="K17" s="373"/>
      <c r="L17" s="373"/>
      <c r="M17" s="373"/>
      <c r="N17" s="373"/>
      <c r="O17" s="373"/>
      <c r="P17" s="373"/>
      <c r="Q17" s="373"/>
      <c r="R17" s="373"/>
      <c r="S17" s="373"/>
      <c r="T17" s="373"/>
      <c r="U17" s="373"/>
      <c r="V17" s="373"/>
      <c r="W17" s="373"/>
      <c r="X17" s="373"/>
      <c r="Y17" s="373"/>
      <c r="Z17" s="373"/>
      <c r="AA17" s="373"/>
      <c r="AB17" s="373"/>
      <c r="AC17" s="373"/>
      <c r="AD17" s="373"/>
      <c r="AE17" s="373"/>
      <c r="AF17" s="373"/>
      <c r="AG17" s="373"/>
      <c r="AH17" s="373"/>
      <c r="AI17" s="373"/>
      <c r="AJ17" s="373"/>
      <c r="AK17" s="373"/>
      <c r="AL17" s="373"/>
      <c r="AM17" s="373"/>
      <c r="AN17" s="373"/>
      <c r="AO17" s="373"/>
      <c r="AP17" s="373"/>
      <c r="AQ17" s="373"/>
      <c r="AR17" s="373"/>
      <c r="AS17" s="373"/>
      <c r="AT17" s="373"/>
      <c r="AU17" s="373"/>
      <c r="AV17" s="373"/>
      <c r="AW17" s="373"/>
      <c r="AX17" s="373"/>
      <c r="AY17" s="373"/>
      <c r="AZ17" s="373"/>
      <c r="BA17" s="373"/>
      <c r="BB17" s="373"/>
      <c r="BC17" s="373"/>
      <c r="BD17" s="373"/>
      <c r="BE17" s="373"/>
      <c r="BF17" s="373"/>
      <c r="BG17" s="373"/>
      <c r="BH17" s="373"/>
      <c r="BI17" s="373"/>
      <c r="BJ17" s="373"/>
      <c r="BK17" s="373"/>
      <c r="BL17" s="373"/>
      <c r="BM17" s="373"/>
      <c r="BN17" s="373"/>
      <c r="BO17" s="373"/>
      <c r="BP17" s="373"/>
      <c r="BQ17" s="373"/>
      <c r="BR17" s="373"/>
      <c r="BS17" s="373"/>
      <c r="BT17" s="373"/>
      <c r="BU17" s="373"/>
      <c r="BV17" s="373"/>
      <c r="BW17" s="373"/>
      <c r="BX17" s="373"/>
      <c r="BY17" s="373"/>
      <c r="BZ17" s="373"/>
      <c r="CA17" s="373"/>
      <c r="CB17" s="373"/>
      <c r="CC17" s="374"/>
    </row>
    <row r="18" spans="1:81" s="164" customFormat="1" ht="15" customHeight="1" x14ac:dyDescent="0.2">
      <c r="A18" s="139" t="s">
        <v>100</v>
      </c>
      <c r="B18" s="373">
        <v>23435</v>
      </c>
      <c r="C18" s="373">
        <v>23230</v>
      </c>
      <c r="D18" s="373">
        <v>22072.510999999999</v>
      </c>
      <c r="E18" s="374">
        <v>25484.582999999999</v>
      </c>
      <c r="F18" s="373"/>
      <c r="G18" s="373"/>
      <c r="H18" s="373"/>
      <c r="I18" s="373"/>
      <c r="J18" s="373"/>
      <c r="K18" s="373"/>
      <c r="L18" s="373"/>
      <c r="M18" s="373"/>
      <c r="N18" s="373"/>
      <c r="O18" s="373"/>
      <c r="P18" s="373"/>
      <c r="Q18" s="373"/>
      <c r="R18" s="373"/>
      <c r="S18" s="373"/>
      <c r="T18" s="373"/>
      <c r="U18" s="373"/>
      <c r="V18" s="373"/>
      <c r="W18" s="373"/>
      <c r="X18" s="373"/>
      <c r="Y18" s="373"/>
      <c r="Z18" s="373"/>
      <c r="AA18" s="373"/>
      <c r="AB18" s="373"/>
      <c r="AC18" s="373"/>
      <c r="AD18" s="373"/>
      <c r="AE18" s="373"/>
      <c r="AF18" s="373"/>
      <c r="AG18" s="373"/>
      <c r="AH18" s="373"/>
      <c r="AI18" s="373"/>
      <c r="AJ18" s="373"/>
      <c r="AK18" s="373"/>
      <c r="AL18" s="373"/>
      <c r="AM18" s="373"/>
      <c r="AN18" s="373"/>
      <c r="AO18" s="373"/>
      <c r="AP18" s="373"/>
      <c r="AQ18" s="373"/>
      <c r="AR18" s="373"/>
      <c r="AS18" s="373"/>
      <c r="AT18" s="373"/>
      <c r="AU18" s="373"/>
      <c r="AV18" s="373"/>
      <c r="AW18" s="373"/>
      <c r="AX18" s="373"/>
      <c r="AY18" s="373"/>
      <c r="AZ18" s="373"/>
      <c r="BA18" s="373"/>
      <c r="BB18" s="373"/>
      <c r="BC18" s="373"/>
      <c r="BD18" s="373"/>
      <c r="BE18" s="373"/>
      <c r="BF18" s="373"/>
      <c r="BG18" s="373"/>
      <c r="BH18" s="373"/>
      <c r="BI18" s="373"/>
      <c r="BJ18" s="373"/>
      <c r="BK18" s="373"/>
      <c r="BL18" s="373"/>
      <c r="BM18" s="373"/>
      <c r="BN18" s="373"/>
      <c r="BO18" s="373"/>
      <c r="BP18" s="373"/>
      <c r="BQ18" s="373"/>
      <c r="BR18" s="373"/>
      <c r="BS18" s="373"/>
      <c r="BT18" s="373"/>
      <c r="BU18" s="373"/>
      <c r="BV18" s="373"/>
      <c r="BW18" s="373"/>
      <c r="BX18" s="373"/>
      <c r="BY18" s="373"/>
      <c r="BZ18" s="373"/>
      <c r="CA18" s="373"/>
      <c r="CB18" s="373"/>
      <c r="CC18" s="374"/>
    </row>
    <row r="19" spans="1:81" ht="15" customHeight="1" x14ac:dyDescent="0.2">
      <c r="A19" s="139" t="s">
        <v>465</v>
      </c>
      <c r="B19" s="373">
        <v>27012</v>
      </c>
      <c r="C19" s="373">
        <v>25357</v>
      </c>
      <c r="D19" s="373">
        <v>24709.550999999999</v>
      </c>
      <c r="E19" s="374">
        <v>23158.948</v>
      </c>
    </row>
    <row r="20" spans="1:81" ht="15" customHeight="1" x14ac:dyDescent="0.2">
      <c r="A20" s="139" t="s">
        <v>347</v>
      </c>
      <c r="B20" s="373">
        <v>17599</v>
      </c>
      <c r="C20" s="373">
        <v>16279</v>
      </c>
      <c r="D20" s="373">
        <v>15603.223</v>
      </c>
      <c r="E20" s="374">
        <v>13370.196</v>
      </c>
    </row>
    <row r="21" spans="1:81" ht="15" customHeight="1" x14ac:dyDescent="0.2">
      <c r="A21" s="139" t="s">
        <v>466</v>
      </c>
      <c r="B21" s="373">
        <v>13414</v>
      </c>
      <c r="C21" s="373">
        <v>12602</v>
      </c>
      <c r="D21" s="373">
        <v>11625.356</v>
      </c>
      <c r="E21" s="374">
        <v>10452.873</v>
      </c>
    </row>
    <row r="22" spans="1:81" ht="15" customHeight="1" x14ac:dyDescent="0.2">
      <c r="A22" s="139" t="s">
        <v>348</v>
      </c>
      <c r="B22" s="373">
        <v>14385</v>
      </c>
      <c r="C22" s="373">
        <v>14185</v>
      </c>
      <c r="D22" s="373">
        <v>16123</v>
      </c>
      <c r="E22" s="374">
        <v>13306.977999999999</v>
      </c>
    </row>
    <row r="23" spans="1:81" ht="15" customHeight="1" x14ac:dyDescent="0.2">
      <c r="A23" s="685" t="s">
        <v>463</v>
      </c>
      <c r="B23" s="373">
        <v>141740</v>
      </c>
      <c r="C23" s="373">
        <v>148272</v>
      </c>
      <c r="D23" s="373">
        <v>143068</v>
      </c>
      <c r="E23" s="374">
        <v>148225</v>
      </c>
    </row>
    <row r="24" spans="1:81" s="686" customFormat="1" ht="15" customHeight="1" x14ac:dyDescent="0.2">
      <c r="A24" s="145" t="s">
        <v>101</v>
      </c>
      <c r="B24" s="211">
        <v>171820</v>
      </c>
      <c r="C24" s="211">
        <v>172045</v>
      </c>
      <c r="D24" s="211">
        <v>172207.682</v>
      </c>
      <c r="E24" s="465">
        <v>175469.45300000001</v>
      </c>
    </row>
    <row r="25" spans="1:81" ht="5.0999999999999996" customHeight="1" x14ac:dyDescent="0.2">
      <c r="A25" s="21"/>
      <c r="B25" s="55"/>
      <c r="C25" s="55"/>
      <c r="D25" s="55"/>
      <c r="E25" s="55"/>
    </row>
    <row r="26" spans="1:81" s="36" customFormat="1" thickBot="1" x14ac:dyDescent="0.25">
      <c r="A26" s="175" t="s">
        <v>10</v>
      </c>
      <c r="B26" s="375">
        <f>B10+B14</f>
        <v>502714</v>
      </c>
      <c r="C26" s="375">
        <f>C10+C14</f>
        <v>493566</v>
      </c>
      <c r="D26" s="375">
        <f>D10+D14</f>
        <v>486863.92300000007</v>
      </c>
      <c r="E26" s="375">
        <f>E10+E14</f>
        <v>492931.22599999997</v>
      </c>
    </row>
    <row r="27" spans="1:81" s="36" customFormat="1" ht="13.5" thickTop="1" x14ac:dyDescent="0.2">
      <c r="A27" s="26"/>
      <c r="E27" s="17"/>
    </row>
    <row r="28" spans="1:81" s="36" customFormat="1" ht="24" x14ac:dyDescent="0.2">
      <c r="A28" s="502" t="s">
        <v>354</v>
      </c>
    </row>
    <row r="29" spans="1:81" s="36" customFormat="1" ht="11.25" x14ac:dyDescent="0.2">
      <c r="A29" s="26"/>
    </row>
    <row r="30" spans="1:81" s="36" customFormat="1" ht="11.25" x14ac:dyDescent="0.2">
      <c r="A30" s="26"/>
    </row>
    <row r="31" spans="1:81" s="36" customFormat="1" ht="11.25" x14ac:dyDescent="0.2">
      <c r="A31" s="26"/>
    </row>
    <row r="32" spans="1:81" s="36" customFormat="1" ht="11.25" x14ac:dyDescent="0.2">
      <c r="A32" s="26"/>
    </row>
    <row r="33" spans="1:1" s="36" customFormat="1" ht="11.25" x14ac:dyDescent="0.2">
      <c r="A33" s="26"/>
    </row>
    <row r="34" spans="1:1" s="36" customFormat="1" ht="11.25" x14ac:dyDescent="0.2">
      <c r="A34" s="26"/>
    </row>
    <row r="35" spans="1:1" s="36" customFormat="1" ht="11.25" x14ac:dyDescent="0.2">
      <c r="A35" s="26"/>
    </row>
    <row r="36" spans="1:1" s="36" customFormat="1" ht="11.25" x14ac:dyDescent="0.2">
      <c r="A36" s="26"/>
    </row>
    <row r="37" spans="1:1" s="36" customFormat="1" ht="11.25" x14ac:dyDescent="0.2">
      <c r="A37" s="26"/>
    </row>
    <row r="38" spans="1:1" s="36" customFormat="1" ht="11.25" x14ac:dyDescent="0.2">
      <c r="A38" s="26"/>
    </row>
    <row r="39" spans="1:1" s="36" customFormat="1" ht="11.25" x14ac:dyDescent="0.2">
      <c r="A39" s="26"/>
    </row>
    <row r="40" spans="1:1" s="36" customFormat="1" ht="11.25" x14ac:dyDescent="0.2">
      <c r="A40" s="26"/>
    </row>
    <row r="41" spans="1:1" s="36" customFormat="1" ht="11.25" x14ac:dyDescent="0.2">
      <c r="A41" s="26"/>
    </row>
    <row r="42" spans="1:1" s="36" customFormat="1" ht="11.25" x14ac:dyDescent="0.2">
      <c r="A42" s="26"/>
    </row>
    <row r="43" spans="1:1" s="36" customFormat="1" ht="11.25" x14ac:dyDescent="0.2">
      <c r="A43" s="26"/>
    </row>
    <row r="44" spans="1:1" s="36" customFormat="1" ht="11.25" x14ac:dyDescent="0.2">
      <c r="A44" s="26"/>
    </row>
    <row r="45" spans="1:1" s="36" customFormat="1" ht="11.25" x14ac:dyDescent="0.2">
      <c r="A45" s="26"/>
    </row>
    <row r="46" spans="1:1" s="36" customFormat="1" ht="11.25" x14ac:dyDescent="0.2">
      <c r="A46" s="26"/>
    </row>
    <row r="47" spans="1:1" s="36" customFormat="1" ht="11.25" x14ac:dyDescent="0.2">
      <c r="A47" s="26"/>
    </row>
    <row r="48" spans="1:1" s="36" customFormat="1" ht="11.25" x14ac:dyDescent="0.2">
      <c r="A48" s="26"/>
    </row>
    <row r="49" spans="1:1" s="36" customFormat="1" ht="11.25" x14ac:dyDescent="0.2">
      <c r="A49" s="26"/>
    </row>
    <row r="50" spans="1:1" s="36" customFormat="1" ht="11.25" x14ac:dyDescent="0.2">
      <c r="A50" s="26"/>
    </row>
    <row r="51" spans="1:1" s="36" customFormat="1" ht="11.25" x14ac:dyDescent="0.2">
      <c r="A51" s="26"/>
    </row>
    <row r="52" spans="1:1" s="36" customFormat="1" ht="11.25" x14ac:dyDescent="0.2">
      <c r="A52" s="26"/>
    </row>
    <row r="53" spans="1:1" s="36" customFormat="1" ht="11.25" x14ac:dyDescent="0.2">
      <c r="A53" s="26"/>
    </row>
    <row r="54" spans="1:1" s="36" customFormat="1" ht="11.25" x14ac:dyDescent="0.2">
      <c r="A54" s="26"/>
    </row>
    <row r="55" spans="1:1" s="36" customFormat="1" ht="11.25" x14ac:dyDescent="0.2">
      <c r="A55" s="26"/>
    </row>
    <row r="56" spans="1:1" s="36" customFormat="1" ht="11.25" x14ac:dyDescent="0.2">
      <c r="A56" s="26"/>
    </row>
    <row r="57" spans="1:1" s="36" customFormat="1" ht="11.25" x14ac:dyDescent="0.2">
      <c r="A57" s="26"/>
    </row>
    <row r="58" spans="1:1" s="36" customFormat="1" ht="11.25" x14ac:dyDescent="0.2">
      <c r="A58" s="26"/>
    </row>
    <row r="59" spans="1:1" s="36" customFormat="1" ht="11.25" x14ac:dyDescent="0.2">
      <c r="A59" s="26"/>
    </row>
    <row r="60" spans="1:1" s="36" customFormat="1" ht="11.25" x14ac:dyDescent="0.2">
      <c r="A60" s="26"/>
    </row>
    <row r="61" spans="1:1" s="36" customFormat="1" ht="11.25" x14ac:dyDescent="0.2">
      <c r="A61" s="26"/>
    </row>
    <row r="62" spans="1:1" s="36" customFormat="1" ht="11.25" x14ac:dyDescent="0.2">
      <c r="A62" s="26"/>
    </row>
    <row r="63" spans="1:1" s="36" customFormat="1" ht="11.25" x14ac:dyDescent="0.2">
      <c r="A63" s="26"/>
    </row>
    <row r="64" spans="1:1" s="36" customFormat="1" ht="11.25" x14ac:dyDescent="0.2">
      <c r="A64" s="26"/>
    </row>
    <row r="65" spans="1:1" s="36" customFormat="1" ht="11.25" x14ac:dyDescent="0.2">
      <c r="A65" s="26"/>
    </row>
    <row r="66" spans="1:1" s="36" customFormat="1" ht="11.25" x14ac:dyDescent="0.2">
      <c r="A66" s="26"/>
    </row>
    <row r="67" spans="1:1" s="36" customFormat="1" ht="11.25" x14ac:dyDescent="0.2">
      <c r="A67" s="26"/>
    </row>
    <row r="68" spans="1:1" s="36" customFormat="1" ht="11.25" x14ac:dyDescent="0.2">
      <c r="A68" s="26"/>
    </row>
    <row r="69" spans="1:1" s="36" customFormat="1" ht="11.25" x14ac:dyDescent="0.2">
      <c r="A69" s="26"/>
    </row>
    <row r="70" spans="1:1" s="36" customFormat="1" ht="11.25" x14ac:dyDescent="0.2">
      <c r="A70" s="26"/>
    </row>
    <row r="71" spans="1:1" s="36" customFormat="1" ht="11.25" x14ac:dyDescent="0.2">
      <c r="A71" s="26"/>
    </row>
    <row r="72" spans="1:1" s="36" customFormat="1" ht="11.25" x14ac:dyDescent="0.2">
      <c r="A72" s="26"/>
    </row>
    <row r="73" spans="1:1" s="36" customFormat="1" ht="11.25" x14ac:dyDescent="0.2">
      <c r="A73" s="26"/>
    </row>
    <row r="74" spans="1:1" s="36" customFormat="1" ht="11.25" x14ac:dyDescent="0.2">
      <c r="A74" s="26"/>
    </row>
    <row r="75" spans="1:1" s="36" customFormat="1" ht="11.25" x14ac:dyDescent="0.2">
      <c r="A75" s="26"/>
    </row>
    <row r="76" spans="1:1" s="36" customFormat="1" ht="11.25" x14ac:dyDescent="0.2">
      <c r="A76" s="26"/>
    </row>
    <row r="77" spans="1:1" s="36" customFormat="1" ht="11.25" x14ac:dyDescent="0.2">
      <c r="A77" s="26"/>
    </row>
    <row r="78" spans="1:1" s="36" customFormat="1" ht="11.25" x14ac:dyDescent="0.2">
      <c r="A78" s="26"/>
    </row>
    <row r="79" spans="1:1" s="36" customFormat="1" ht="11.25" x14ac:dyDescent="0.2">
      <c r="A79" s="26"/>
    </row>
    <row r="80" spans="1:1" s="36" customFormat="1" ht="11.25" x14ac:dyDescent="0.2">
      <c r="A80" s="26"/>
    </row>
    <row r="81" spans="1:5" s="36" customFormat="1" ht="11.25" x14ac:dyDescent="0.2">
      <c r="A81" s="26"/>
    </row>
    <row r="82" spans="1:5" s="36" customFormat="1" ht="11.25" x14ac:dyDescent="0.2">
      <c r="A82" s="26"/>
    </row>
    <row r="83" spans="1:5" s="36" customFormat="1" ht="11.25" x14ac:dyDescent="0.2">
      <c r="A83" s="26"/>
    </row>
    <row r="84" spans="1:5" s="36" customFormat="1" ht="11.25" x14ac:dyDescent="0.2">
      <c r="A84" s="26"/>
    </row>
    <row r="85" spans="1:5" s="36" customFormat="1" ht="11.25" x14ac:dyDescent="0.2">
      <c r="A85" s="26"/>
    </row>
    <row r="86" spans="1:5" x14ac:dyDescent="0.2">
      <c r="E86" s="36"/>
    </row>
    <row r="87" spans="1:5" x14ac:dyDescent="0.2">
      <c r="E87" s="36"/>
    </row>
    <row r="88" spans="1:5" x14ac:dyDescent="0.2">
      <c r="E88" s="36"/>
    </row>
    <row r="89" spans="1:5" x14ac:dyDescent="0.2">
      <c r="E89" s="36"/>
    </row>
    <row r="90" spans="1:5" x14ac:dyDescent="0.2">
      <c r="E90" s="36"/>
    </row>
    <row r="91" spans="1:5" x14ac:dyDescent="0.2">
      <c r="E91" s="36"/>
    </row>
    <row r="92" spans="1:5" x14ac:dyDescent="0.2">
      <c r="E92" s="36"/>
    </row>
    <row r="93" spans="1:5" x14ac:dyDescent="0.2">
      <c r="E93" s="36"/>
    </row>
  </sheetData>
  <hyperlinks>
    <hyperlink ref="E6" location="Índex!E9" display="Índex"/>
  </hyperlinks>
  <printOptions horizontalCentered="1" gridLinesSet="0"/>
  <pageMargins left="0" right="0" top="0.39370078740157483" bottom="0" header="0" footer="0"/>
  <pageSetup paperSize="9" orientation="landscape" r:id="rId1"/>
  <headerFooter alignWithMargins="0">
    <oddHeader>&amp;R&amp;P/&amp;N</odd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8"/>
  <dimension ref="A1:BP17"/>
  <sheetViews>
    <sheetView showGridLines="0" zoomScaleNormal="100" workbookViewId="0">
      <pane xSplit="1" ySplit="9" topLeftCell="AH10" activePane="bottomRight" state="frozen"/>
      <selection activeCell="E9" sqref="E9"/>
      <selection pane="topRight" activeCell="E9" sqref="E9"/>
      <selection pane="bottomLeft" activeCell="E9" sqref="E9"/>
      <selection pane="bottomRight" activeCell="AS6" sqref="AS6"/>
    </sheetView>
  </sheetViews>
  <sheetFormatPr defaultColWidth="10.7109375" defaultRowHeight="12" x14ac:dyDescent="0.2"/>
  <cols>
    <col min="1" max="1" width="37.42578125" style="518" customWidth="1"/>
    <col min="2" max="37" width="10.7109375" style="518" customWidth="1"/>
    <col min="38" max="256" width="10.7109375" style="514"/>
    <col min="257" max="257" width="35.7109375" style="514" customWidth="1"/>
    <col min="258" max="293" width="10.7109375" style="514" customWidth="1"/>
    <col min="294" max="512" width="10.7109375" style="514"/>
    <col min="513" max="513" width="35.7109375" style="514" customWidth="1"/>
    <col min="514" max="549" width="10.7109375" style="514" customWidth="1"/>
    <col min="550" max="768" width="10.7109375" style="514"/>
    <col min="769" max="769" width="35.7109375" style="514" customWidth="1"/>
    <col min="770" max="805" width="10.7109375" style="514" customWidth="1"/>
    <col min="806" max="1024" width="10.7109375" style="514"/>
    <col min="1025" max="1025" width="35.7109375" style="514" customWidth="1"/>
    <col min="1026" max="1061" width="10.7109375" style="514" customWidth="1"/>
    <col min="1062" max="1280" width="10.7109375" style="514"/>
    <col min="1281" max="1281" width="35.7109375" style="514" customWidth="1"/>
    <col min="1282" max="1317" width="10.7109375" style="514" customWidth="1"/>
    <col min="1318" max="1536" width="10.7109375" style="514"/>
    <col min="1537" max="1537" width="35.7109375" style="514" customWidth="1"/>
    <col min="1538" max="1573" width="10.7109375" style="514" customWidth="1"/>
    <col min="1574" max="1792" width="10.7109375" style="514"/>
    <col min="1793" max="1793" width="35.7109375" style="514" customWidth="1"/>
    <col min="1794" max="1829" width="10.7109375" style="514" customWidth="1"/>
    <col min="1830" max="2048" width="10.7109375" style="514"/>
    <col min="2049" max="2049" width="35.7109375" style="514" customWidth="1"/>
    <col min="2050" max="2085" width="10.7109375" style="514" customWidth="1"/>
    <col min="2086" max="2304" width="10.7109375" style="514"/>
    <col min="2305" max="2305" width="35.7109375" style="514" customWidth="1"/>
    <col min="2306" max="2341" width="10.7109375" style="514" customWidth="1"/>
    <col min="2342" max="2560" width="10.7109375" style="514"/>
    <col min="2561" max="2561" width="35.7109375" style="514" customWidth="1"/>
    <col min="2562" max="2597" width="10.7109375" style="514" customWidth="1"/>
    <col min="2598" max="2816" width="10.7109375" style="514"/>
    <col min="2817" max="2817" width="35.7109375" style="514" customWidth="1"/>
    <col min="2818" max="2853" width="10.7109375" style="514" customWidth="1"/>
    <col min="2854" max="3072" width="10.7109375" style="514"/>
    <col min="3073" max="3073" width="35.7109375" style="514" customWidth="1"/>
    <col min="3074" max="3109" width="10.7109375" style="514" customWidth="1"/>
    <col min="3110" max="3328" width="10.7109375" style="514"/>
    <col min="3329" max="3329" width="35.7109375" style="514" customWidth="1"/>
    <col min="3330" max="3365" width="10.7109375" style="514" customWidth="1"/>
    <col min="3366" max="3584" width="10.7109375" style="514"/>
    <col min="3585" max="3585" width="35.7109375" style="514" customWidth="1"/>
    <col min="3586" max="3621" width="10.7109375" style="514" customWidth="1"/>
    <col min="3622" max="3840" width="10.7109375" style="514"/>
    <col min="3841" max="3841" width="35.7109375" style="514" customWidth="1"/>
    <col min="3842" max="3877" width="10.7109375" style="514" customWidth="1"/>
    <col min="3878" max="4096" width="10.7109375" style="514"/>
    <col min="4097" max="4097" width="35.7109375" style="514" customWidth="1"/>
    <col min="4098" max="4133" width="10.7109375" style="514" customWidth="1"/>
    <col min="4134" max="4352" width="10.7109375" style="514"/>
    <col min="4353" max="4353" width="35.7109375" style="514" customWidth="1"/>
    <col min="4354" max="4389" width="10.7109375" style="514" customWidth="1"/>
    <col min="4390" max="4608" width="10.7109375" style="514"/>
    <col min="4609" max="4609" width="35.7109375" style="514" customWidth="1"/>
    <col min="4610" max="4645" width="10.7109375" style="514" customWidth="1"/>
    <col min="4646" max="4864" width="10.7109375" style="514"/>
    <col min="4865" max="4865" width="35.7109375" style="514" customWidth="1"/>
    <col min="4866" max="4901" width="10.7109375" style="514" customWidth="1"/>
    <col min="4902" max="5120" width="10.7109375" style="514"/>
    <col min="5121" max="5121" width="35.7109375" style="514" customWidth="1"/>
    <col min="5122" max="5157" width="10.7109375" style="514" customWidth="1"/>
    <col min="5158" max="5376" width="10.7109375" style="514"/>
    <col min="5377" max="5377" width="35.7109375" style="514" customWidth="1"/>
    <col min="5378" max="5413" width="10.7109375" style="514" customWidth="1"/>
    <col min="5414" max="5632" width="10.7109375" style="514"/>
    <col min="5633" max="5633" width="35.7109375" style="514" customWidth="1"/>
    <col min="5634" max="5669" width="10.7109375" style="514" customWidth="1"/>
    <col min="5670" max="5888" width="10.7109375" style="514"/>
    <col min="5889" max="5889" width="35.7109375" style="514" customWidth="1"/>
    <col min="5890" max="5925" width="10.7109375" style="514" customWidth="1"/>
    <col min="5926" max="6144" width="10.7109375" style="514"/>
    <col min="6145" max="6145" width="35.7109375" style="514" customWidth="1"/>
    <col min="6146" max="6181" width="10.7109375" style="514" customWidth="1"/>
    <col min="6182" max="6400" width="10.7109375" style="514"/>
    <col min="6401" max="6401" width="35.7109375" style="514" customWidth="1"/>
    <col min="6402" max="6437" width="10.7109375" style="514" customWidth="1"/>
    <col min="6438" max="6656" width="10.7109375" style="514"/>
    <col min="6657" max="6657" width="35.7109375" style="514" customWidth="1"/>
    <col min="6658" max="6693" width="10.7109375" style="514" customWidth="1"/>
    <col min="6694" max="6912" width="10.7109375" style="514"/>
    <col min="6913" max="6913" width="35.7109375" style="514" customWidth="1"/>
    <col min="6914" max="6949" width="10.7109375" style="514" customWidth="1"/>
    <col min="6950" max="7168" width="10.7109375" style="514"/>
    <col min="7169" max="7169" width="35.7109375" style="514" customWidth="1"/>
    <col min="7170" max="7205" width="10.7109375" style="514" customWidth="1"/>
    <col min="7206" max="7424" width="10.7109375" style="514"/>
    <col min="7425" max="7425" width="35.7109375" style="514" customWidth="1"/>
    <col min="7426" max="7461" width="10.7109375" style="514" customWidth="1"/>
    <col min="7462" max="7680" width="10.7109375" style="514"/>
    <col min="7681" max="7681" width="35.7109375" style="514" customWidth="1"/>
    <col min="7682" max="7717" width="10.7109375" style="514" customWidth="1"/>
    <col min="7718" max="7936" width="10.7109375" style="514"/>
    <col min="7937" max="7937" width="35.7109375" style="514" customWidth="1"/>
    <col min="7938" max="7973" width="10.7109375" style="514" customWidth="1"/>
    <col min="7974" max="8192" width="10.7109375" style="514"/>
    <col min="8193" max="8193" width="35.7109375" style="514" customWidth="1"/>
    <col min="8194" max="8229" width="10.7109375" style="514" customWidth="1"/>
    <col min="8230" max="8448" width="10.7109375" style="514"/>
    <col min="8449" max="8449" width="35.7109375" style="514" customWidth="1"/>
    <col min="8450" max="8485" width="10.7109375" style="514" customWidth="1"/>
    <col min="8486" max="8704" width="10.7109375" style="514"/>
    <col min="8705" max="8705" width="35.7109375" style="514" customWidth="1"/>
    <col min="8706" max="8741" width="10.7109375" style="514" customWidth="1"/>
    <col min="8742" max="8960" width="10.7109375" style="514"/>
    <col min="8961" max="8961" width="35.7109375" style="514" customWidth="1"/>
    <col min="8962" max="8997" width="10.7109375" style="514" customWidth="1"/>
    <col min="8998" max="9216" width="10.7109375" style="514"/>
    <col min="9217" max="9217" width="35.7109375" style="514" customWidth="1"/>
    <col min="9218" max="9253" width="10.7109375" style="514" customWidth="1"/>
    <col min="9254" max="9472" width="10.7109375" style="514"/>
    <col min="9473" max="9473" width="35.7109375" style="514" customWidth="1"/>
    <col min="9474" max="9509" width="10.7109375" style="514" customWidth="1"/>
    <col min="9510" max="9728" width="10.7109375" style="514"/>
    <col min="9729" max="9729" width="35.7109375" style="514" customWidth="1"/>
    <col min="9730" max="9765" width="10.7109375" style="514" customWidth="1"/>
    <col min="9766" max="9984" width="10.7109375" style="514"/>
    <col min="9985" max="9985" width="35.7109375" style="514" customWidth="1"/>
    <col min="9986" max="10021" width="10.7109375" style="514" customWidth="1"/>
    <col min="10022" max="10240" width="10.7109375" style="514"/>
    <col min="10241" max="10241" width="35.7109375" style="514" customWidth="1"/>
    <col min="10242" max="10277" width="10.7109375" style="514" customWidth="1"/>
    <col min="10278" max="10496" width="10.7109375" style="514"/>
    <col min="10497" max="10497" width="35.7109375" style="514" customWidth="1"/>
    <col min="10498" max="10533" width="10.7109375" style="514" customWidth="1"/>
    <col min="10534" max="10752" width="10.7109375" style="514"/>
    <col min="10753" max="10753" width="35.7109375" style="514" customWidth="1"/>
    <col min="10754" max="10789" width="10.7109375" style="514" customWidth="1"/>
    <col min="10790" max="11008" width="10.7109375" style="514"/>
    <col min="11009" max="11009" width="35.7109375" style="514" customWidth="1"/>
    <col min="11010" max="11045" width="10.7109375" style="514" customWidth="1"/>
    <col min="11046" max="11264" width="10.7109375" style="514"/>
    <col min="11265" max="11265" width="35.7109375" style="514" customWidth="1"/>
    <col min="11266" max="11301" width="10.7109375" style="514" customWidth="1"/>
    <col min="11302" max="11520" width="10.7109375" style="514"/>
    <col min="11521" max="11521" width="35.7109375" style="514" customWidth="1"/>
    <col min="11522" max="11557" width="10.7109375" style="514" customWidth="1"/>
    <col min="11558" max="11776" width="10.7109375" style="514"/>
    <col min="11777" max="11777" width="35.7109375" style="514" customWidth="1"/>
    <col min="11778" max="11813" width="10.7109375" style="514" customWidth="1"/>
    <col min="11814" max="12032" width="10.7109375" style="514"/>
    <col min="12033" max="12033" width="35.7109375" style="514" customWidth="1"/>
    <col min="12034" max="12069" width="10.7109375" style="514" customWidth="1"/>
    <col min="12070" max="12288" width="10.7109375" style="514"/>
    <col min="12289" max="12289" width="35.7109375" style="514" customWidth="1"/>
    <col min="12290" max="12325" width="10.7109375" style="514" customWidth="1"/>
    <col min="12326" max="12544" width="10.7109375" style="514"/>
    <col min="12545" max="12545" width="35.7109375" style="514" customWidth="1"/>
    <col min="12546" max="12581" width="10.7109375" style="514" customWidth="1"/>
    <col min="12582" max="12800" width="10.7109375" style="514"/>
    <col min="12801" max="12801" width="35.7109375" style="514" customWidth="1"/>
    <col min="12802" max="12837" width="10.7109375" style="514" customWidth="1"/>
    <col min="12838" max="13056" width="10.7109375" style="514"/>
    <col min="13057" max="13057" width="35.7109375" style="514" customWidth="1"/>
    <col min="13058" max="13093" width="10.7109375" style="514" customWidth="1"/>
    <col min="13094" max="13312" width="10.7109375" style="514"/>
    <col min="13313" max="13313" width="35.7109375" style="514" customWidth="1"/>
    <col min="13314" max="13349" width="10.7109375" style="514" customWidth="1"/>
    <col min="13350" max="13568" width="10.7109375" style="514"/>
    <col min="13569" max="13569" width="35.7109375" style="514" customWidth="1"/>
    <col min="13570" max="13605" width="10.7109375" style="514" customWidth="1"/>
    <col min="13606" max="13824" width="10.7109375" style="514"/>
    <col min="13825" max="13825" width="35.7109375" style="514" customWidth="1"/>
    <col min="13826" max="13861" width="10.7109375" style="514" customWidth="1"/>
    <col min="13862" max="14080" width="10.7109375" style="514"/>
    <col min="14081" max="14081" width="35.7109375" style="514" customWidth="1"/>
    <col min="14082" max="14117" width="10.7109375" style="514" customWidth="1"/>
    <col min="14118" max="14336" width="10.7109375" style="514"/>
    <col min="14337" max="14337" width="35.7109375" style="514" customWidth="1"/>
    <col min="14338" max="14373" width="10.7109375" style="514" customWidth="1"/>
    <col min="14374" max="14592" width="10.7109375" style="514"/>
    <col min="14593" max="14593" width="35.7109375" style="514" customWidth="1"/>
    <col min="14594" max="14629" width="10.7109375" style="514" customWidth="1"/>
    <col min="14630" max="14848" width="10.7109375" style="514"/>
    <col min="14849" max="14849" width="35.7109375" style="514" customWidth="1"/>
    <col min="14850" max="14885" width="10.7109375" style="514" customWidth="1"/>
    <col min="14886" max="15104" width="10.7109375" style="514"/>
    <col min="15105" max="15105" width="35.7109375" style="514" customWidth="1"/>
    <col min="15106" max="15141" width="10.7109375" style="514" customWidth="1"/>
    <col min="15142" max="15360" width="10.7109375" style="514"/>
    <col min="15361" max="15361" width="35.7109375" style="514" customWidth="1"/>
    <col min="15362" max="15397" width="10.7109375" style="514" customWidth="1"/>
    <col min="15398" max="15616" width="10.7109375" style="514"/>
    <col min="15617" max="15617" width="35.7109375" style="514" customWidth="1"/>
    <col min="15618" max="15653" width="10.7109375" style="514" customWidth="1"/>
    <col min="15654" max="15872" width="10.7109375" style="514"/>
    <col min="15873" max="15873" width="35.7109375" style="514" customWidth="1"/>
    <col min="15874" max="15909" width="10.7109375" style="514" customWidth="1"/>
    <col min="15910" max="16128" width="10.7109375" style="514"/>
    <col min="16129" max="16129" width="35.7109375" style="514" customWidth="1"/>
    <col min="16130" max="16165" width="10.7109375" style="514" customWidth="1"/>
    <col min="16166" max="16384" width="10.7109375" style="514"/>
  </cols>
  <sheetData>
    <row r="1" spans="1:68" ht="15" customHeight="1" x14ac:dyDescent="0.2">
      <c r="A1" s="436"/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3"/>
      <c r="AA1" s="513"/>
      <c r="AB1" s="513"/>
      <c r="AC1" s="513"/>
      <c r="AD1" s="512"/>
      <c r="AE1" s="512"/>
      <c r="AF1" s="513"/>
      <c r="AG1" s="513"/>
      <c r="AH1" s="513"/>
      <c r="AI1" s="513"/>
      <c r="AJ1" s="513"/>
      <c r="AK1" s="513"/>
    </row>
    <row r="2" spans="1:68" ht="15" customHeight="1" x14ac:dyDescent="0.2">
      <c r="A2" s="515"/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  <c r="Z2" s="513"/>
      <c r="AA2" s="513"/>
      <c r="AB2" s="513"/>
      <c r="AC2" s="513"/>
      <c r="AD2" s="512"/>
      <c r="AE2" s="512"/>
      <c r="AF2" s="513"/>
      <c r="AG2" s="513"/>
      <c r="AH2" s="513"/>
      <c r="AI2" s="513"/>
      <c r="AJ2" s="513"/>
      <c r="AK2" s="513"/>
    </row>
    <row r="3" spans="1:68" ht="15" customHeight="1" x14ac:dyDescent="0.2">
      <c r="A3" s="513"/>
      <c r="B3" s="513"/>
      <c r="C3" s="513"/>
      <c r="D3" s="513"/>
      <c r="E3" s="513"/>
      <c r="F3" s="513"/>
      <c r="G3" s="513"/>
      <c r="H3" s="513"/>
      <c r="I3" s="513"/>
      <c r="J3" s="513"/>
      <c r="K3" s="513"/>
      <c r="L3" s="513"/>
      <c r="M3" s="513"/>
      <c r="N3" s="513"/>
      <c r="O3" s="513"/>
      <c r="P3" s="513"/>
      <c r="Q3" s="513"/>
      <c r="R3" s="513"/>
      <c r="S3" s="513"/>
      <c r="T3" s="513"/>
      <c r="U3" s="513"/>
      <c r="V3" s="513"/>
      <c r="W3" s="513"/>
      <c r="X3" s="513"/>
      <c r="Y3" s="513"/>
      <c r="Z3" s="513"/>
      <c r="AA3" s="513"/>
      <c r="AB3" s="513"/>
      <c r="AC3" s="513"/>
      <c r="AD3" s="513"/>
      <c r="AE3" s="513"/>
      <c r="AF3" s="513"/>
      <c r="AG3" s="513"/>
      <c r="AH3" s="513"/>
      <c r="AI3" s="513"/>
      <c r="AJ3" s="513"/>
      <c r="AK3" s="513"/>
    </row>
    <row r="4" spans="1:68" ht="15" customHeight="1" x14ac:dyDescent="0.2">
      <c r="A4" s="513" t="s">
        <v>1</v>
      </c>
      <c r="B4" s="513"/>
      <c r="C4" s="513"/>
      <c r="D4" s="513"/>
      <c r="E4" s="513"/>
      <c r="F4" s="513"/>
      <c r="G4" s="513"/>
      <c r="H4" s="513"/>
      <c r="I4" s="513"/>
      <c r="J4" s="513"/>
      <c r="K4" s="513"/>
      <c r="L4" s="513"/>
      <c r="M4" s="513"/>
      <c r="N4" s="513"/>
      <c r="O4" s="513"/>
      <c r="P4" s="513"/>
      <c r="Q4" s="513"/>
      <c r="R4" s="513"/>
      <c r="S4" s="513"/>
      <c r="T4" s="513"/>
      <c r="U4" s="513"/>
      <c r="V4" s="513"/>
      <c r="W4" s="513"/>
      <c r="X4" s="513"/>
      <c r="Y4" s="513"/>
      <c r="Z4" s="513"/>
      <c r="AA4" s="513"/>
      <c r="AB4" s="513"/>
      <c r="AC4" s="513"/>
      <c r="AD4" s="513"/>
      <c r="AE4" s="513"/>
      <c r="AF4" s="513"/>
      <c r="AG4" s="513"/>
      <c r="AH4" s="513"/>
      <c r="AI4" s="513"/>
      <c r="AJ4" s="513"/>
      <c r="AK4" s="513"/>
    </row>
    <row r="5" spans="1:68" ht="26.25" thickBot="1" x14ac:dyDescent="0.25">
      <c r="A5" s="481" t="s">
        <v>468</v>
      </c>
      <c r="B5" s="516"/>
      <c r="C5" s="516"/>
      <c r="D5" s="516"/>
      <c r="E5" s="516"/>
      <c r="F5" s="516"/>
      <c r="G5" s="516"/>
      <c r="H5" s="516"/>
      <c r="I5" s="516"/>
      <c r="J5" s="516"/>
      <c r="K5" s="516"/>
      <c r="L5" s="516"/>
      <c r="M5" s="516"/>
      <c r="N5" s="516"/>
      <c r="O5" s="516"/>
      <c r="P5" s="516"/>
      <c r="Q5" s="516"/>
      <c r="R5" s="516"/>
      <c r="S5" s="516"/>
      <c r="T5" s="516"/>
      <c r="U5" s="516"/>
      <c r="V5" s="516"/>
      <c r="W5" s="516"/>
      <c r="X5" s="516"/>
      <c r="Y5" s="516"/>
      <c r="Z5" s="516"/>
      <c r="AA5" s="516"/>
      <c r="AB5" s="516"/>
      <c r="AC5" s="516"/>
      <c r="AD5" s="516"/>
      <c r="AE5" s="516"/>
      <c r="AF5" s="516"/>
      <c r="AG5" s="516"/>
      <c r="AH5" s="516"/>
      <c r="AI5" s="516"/>
      <c r="AJ5" s="516"/>
      <c r="AK5" s="516"/>
    </row>
    <row r="6" spans="1:68" ht="17.100000000000001" customHeight="1" thickTop="1" x14ac:dyDescent="0.2">
      <c r="A6" s="517"/>
      <c r="C6" s="510"/>
      <c r="D6" s="510"/>
      <c r="E6" s="511"/>
      <c r="F6" s="517"/>
      <c r="G6" s="517"/>
      <c r="H6" s="517"/>
      <c r="I6" s="517"/>
      <c r="J6" s="517"/>
      <c r="K6" s="517"/>
      <c r="L6" s="517"/>
      <c r="M6" s="517"/>
      <c r="N6" s="517"/>
      <c r="O6" s="517"/>
      <c r="P6" s="517"/>
      <c r="Q6" s="517"/>
      <c r="R6" s="517"/>
      <c r="S6" s="517"/>
      <c r="T6" s="517"/>
      <c r="U6" s="517"/>
      <c r="V6" s="517"/>
      <c r="W6" s="517"/>
      <c r="X6" s="517"/>
      <c r="Y6" s="517"/>
      <c r="Z6" s="517"/>
      <c r="AA6" s="517"/>
      <c r="AB6" s="517"/>
      <c r="AC6" s="517"/>
      <c r="AD6" s="517"/>
      <c r="AE6" s="517"/>
      <c r="AF6" s="517"/>
      <c r="AG6" s="517"/>
      <c r="AH6" s="517"/>
      <c r="AI6" s="517"/>
      <c r="AJ6" s="517"/>
      <c r="AL6" s="510"/>
      <c r="AM6" s="510"/>
      <c r="AN6" s="510"/>
      <c r="AP6" s="400"/>
      <c r="AQ6" s="400"/>
      <c r="AR6" s="400"/>
      <c r="AS6" s="400" t="s">
        <v>662</v>
      </c>
    </row>
    <row r="7" spans="1:68" s="183" customFormat="1" ht="15" customHeight="1" x14ac:dyDescent="0.2">
      <c r="A7" s="182"/>
      <c r="B7" s="498" t="s">
        <v>35</v>
      </c>
      <c r="C7" s="498" t="s">
        <v>36</v>
      </c>
      <c r="D7" s="498" t="s">
        <v>321</v>
      </c>
      <c r="E7" s="498" t="s">
        <v>331</v>
      </c>
      <c r="F7" s="498" t="s">
        <v>37</v>
      </c>
      <c r="G7" s="498" t="s">
        <v>38</v>
      </c>
      <c r="H7" s="498" t="s">
        <v>322</v>
      </c>
      <c r="I7" s="498" t="s">
        <v>332</v>
      </c>
      <c r="J7" s="498" t="s">
        <v>39</v>
      </c>
      <c r="K7" s="498" t="s">
        <v>40</v>
      </c>
      <c r="L7" s="498" t="s">
        <v>323</v>
      </c>
      <c r="M7" s="498" t="s">
        <v>333</v>
      </c>
      <c r="N7" s="498" t="s">
        <v>41</v>
      </c>
      <c r="O7" s="498" t="s">
        <v>42</v>
      </c>
      <c r="P7" s="498" t="s">
        <v>324</v>
      </c>
      <c r="Q7" s="498" t="s">
        <v>334</v>
      </c>
      <c r="R7" s="498" t="s">
        <v>43</v>
      </c>
      <c r="S7" s="498" t="s">
        <v>44</v>
      </c>
      <c r="T7" s="498" t="s">
        <v>325</v>
      </c>
      <c r="U7" s="498" t="s">
        <v>335</v>
      </c>
      <c r="V7" s="498" t="s">
        <v>45</v>
      </c>
      <c r="W7" s="498" t="s">
        <v>46</v>
      </c>
      <c r="X7" s="498" t="s">
        <v>326</v>
      </c>
      <c r="Y7" s="498" t="s">
        <v>336</v>
      </c>
      <c r="Z7" s="498" t="s">
        <v>47</v>
      </c>
      <c r="AA7" s="498" t="s">
        <v>48</v>
      </c>
      <c r="AB7" s="498" t="s">
        <v>327</v>
      </c>
      <c r="AC7" s="498" t="s">
        <v>337</v>
      </c>
      <c r="AD7" s="498" t="s">
        <v>49</v>
      </c>
      <c r="AE7" s="498" t="s">
        <v>50</v>
      </c>
      <c r="AF7" s="498" t="s">
        <v>328</v>
      </c>
      <c r="AG7" s="498" t="s">
        <v>338</v>
      </c>
      <c r="AH7" s="498" t="s">
        <v>51</v>
      </c>
      <c r="AI7" s="498" t="s">
        <v>52</v>
      </c>
      <c r="AJ7" s="498" t="s">
        <v>329</v>
      </c>
      <c r="AK7" s="498" t="s">
        <v>339</v>
      </c>
      <c r="AL7" s="498" t="s">
        <v>53</v>
      </c>
      <c r="AM7" s="498" t="s">
        <v>54</v>
      </c>
      <c r="AN7" s="498" t="s">
        <v>330</v>
      </c>
      <c r="AO7" s="498" t="s">
        <v>340</v>
      </c>
      <c r="AP7" s="498" t="s">
        <v>71</v>
      </c>
      <c r="AQ7" s="546" t="s">
        <v>374</v>
      </c>
      <c r="AR7" s="664" t="s">
        <v>376</v>
      </c>
      <c r="AS7" s="664" t="s">
        <v>399</v>
      </c>
      <c r="BI7" s="243"/>
      <c r="BJ7" s="243"/>
      <c r="BK7" s="243"/>
      <c r="BL7" s="243"/>
      <c r="BM7" s="243"/>
      <c r="BN7" s="243"/>
      <c r="BO7" s="243"/>
      <c r="BP7" s="243"/>
    </row>
    <row r="8" spans="1:68" s="178" customFormat="1" ht="9.9499999999999993" customHeight="1" x14ac:dyDescent="0.2">
      <c r="A8" s="184"/>
      <c r="B8" s="158"/>
      <c r="C8" s="158"/>
      <c r="D8" s="158"/>
      <c r="E8" s="158"/>
      <c r="F8" s="158"/>
      <c r="G8" s="158"/>
      <c r="H8" s="158"/>
      <c r="I8" s="158"/>
      <c r="J8" s="158"/>
      <c r="K8" s="158"/>
      <c r="L8" s="158"/>
      <c r="M8" s="158"/>
      <c r="N8" s="158"/>
      <c r="O8" s="158"/>
      <c r="P8" s="158"/>
      <c r="Q8" s="158"/>
      <c r="R8" s="158"/>
      <c r="S8" s="158"/>
      <c r="T8" s="158"/>
      <c r="U8" s="158"/>
      <c r="V8" s="158"/>
      <c r="W8" s="158"/>
      <c r="X8" s="158"/>
      <c r="Y8" s="158"/>
      <c r="Z8" s="158"/>
      <c r="AA8" s="158"/>
      <c r="AB8" s="158"/>
      <c r="AC8" s="158"/>
      <c r="AD8" s="158"/>
      <c r="AE8" s="158"/>
      <c r="AF8" s="158"/>
      <c r="AG8" s="158"/>
      <c r="AH8" s="158"/>
      <c r="AI8" s="158"/>
      <c r="AJ8" s="158"/>
      <c r="AK8" s="158"/>
      <c r="AL8" s="158"/>
      <c r="AM8" s="158"/>
      <c r="AN8" s="158"/>
      <c r="AO8" s="158"/>
      <c r="AP8" s="158"/>
      <c r="AQ8" s="158"/>
      <c r="AR8" s="158"/>
      <c r="AS8" s="158"/>
      <c r="AT8" s="191"/>
      <c r="AU8" s="191"/>
      <c r="AV8" s="191"/>
      <c r="AW8" s="191"/>
      <c r="AX8" s="191"/>
      <c r="AY8" s="191"/>
      <c r="AZ8" s="191"/>
      <c r="BA8" s="191"/>
      <c r="BB8" s="191"/>
      <c r="BC8" s="191"/>
      <c r="BD8" s="191"/>
      <c r="BE8" s="191"/>
    </row>
    <row r="9" spans="1:68" ht="5.0999999999999996" customHeight="1" x14ac:dyDescent="0.2">
      <c r="A9" s="519"/>
      <c r="B9" s="520"/>
      <c r="C9" s="520"/>
      <c r="D9" s="520"/>
      <c r="E9" s="520"/>
      <c r="F9" s="520"/>
      <c r="G9" s="520"/>
      <c r="H9" s="520"/>
      <c r="I9" s="519"/>
      <c r="J9" s="519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519"/>
      <c r="AJ9" s="519"/>
      <c r="AK9" s="519"/>
      <c r="AL9" s="519"/>
      <c r="AM9" s="519"/>
      <c r="AN9" s="519"/>
      <c r="AO9" s="519"/>
    </row>
    <row r="10" spans="1:68" ht="15" customHeight="1" x14ac:dyDescent="0.2">
      <c r="A10" s="521" t="s">
        <v>25</v>
      </c>
      <c r="B10" s="522">
        <v>29995</v>
      </c>
      <c r="C10" s="522">
        <v>30880</v>
      </c>
      <c r="D10" s="522">
        <v>31398</v>
      </c>
      <c r="E10" s="522">
        <v>35885</v>
      </c>
      <c r="F10" s="522">
        <v>38493</v>
      </c>
      <c r="G10" s="522">
        <v>41486</v>
      </c>
      <c r="H10" s="523">
        <v>45641</v>
      </c>
      <c r="I10" s="524">
        <v>52961</v>
      </c>
      <c r="J10" s="524">
        <v>52662</v>
      </c>
      <c r="K10" s="524">
        <v>50943</v>
      </c>
      <c r="L10" s="524">
        <v>50559</v>
      </c>
      <c r="M10" s="524">
        <v>49695</v>
      </c>
      <c r="N10" s="524">
        <v>50344</v>
      </c>
      <c r="O10" s="524">
        <v>53169</v>
      </c>
      <c r="P10" s="524">
        <v>54005</v>
      </c>
      <c r="Q10" s="524">
        <v>55235</v>
      </c>
      <c r="R10" s="524">
        <v>58334</v>
      </c>
      <c r="S10" s="524">
        <v>62435</v>
      </c>
      <c r="T10" s="524">
        <v>65071</v>
      </c>
      <c r="U10" s="524">
        <v>65007</v>
      </c>
      <c r="V10" s="524">
        <v>69306</v>
      </c>
      <c r="W10" s="524">
        <v>74488</v>
      </c>
      <c r="X10" s="524">
        <v>75573</v>
      </c>
      <c r="Y10" s="524">
        <v>75775</v>
      </c>
      <c r="Z10" s="524">
        <v>79850</v>
      </c>
      <c r="AA10" s="524">
        <v>81279</v>
      </c>
      <c r="AB10" s="524">
        <v>82689</v>
      </c>
      <c r="AC10" s="524">
        <v>88110</v>
      </c>
      <c r="AD10" s="524">
        <v>90806</v>
      </c>
      <c r="AE10" s="524">
        <v>89718</v>
      </c>
      <c r="AF10" s="524">
        <v>93287.92</v>
      </c>
      <c r="AG10" s="524">
        <v>97642</v>
      </c>
      <c r="AH10" s="524">
        <v>104558</v>
      </c>
      <c r="AI10" s="524">
        <v>108530</v>
      </c>
      <c r="AJ10" s="207">
        <v>117848</v>
      </c>
      <c r="AK10" s="207">
        <v>117847</v>
      </c>
      <c r="AL10" s="207">
        <v>111128</v>
      </c>
      <c r="AM10" s="207">
        <v>103764</v>
      </c>
      <c r="AN10" s="207">
        <v>129179</v>
      </c>
      <c r="AO10" s="207">
        <v>126291</v>
      </c>
      <c r="AP10" s="207">
        <v>122411</v>
      </c>
      <c r="AQ10" s="207">
        <v>119988</v>
      </c>
      <c r="AR10" s="207">
        <v>115072</v>
      </c>
      <c r="AS10" s="374">
        <v>111350.58476573999</v>
      </c>
    </row>
    <row r="11" spans="1:68" ht="15" customHeight="1" x14ac:dyDescent="0.2">
      <c r="A11" s="521" t="s">
        <v>469</v>
      </c>
      <c r="B11" s="522">
        <f>29850+525</f>
        <v>30375</v>
      </c>
      <c r="C11" s="522">
        <f>32617+539</f>
        <v>33156</v>
      </c>
      <c r="D11" s="522">
        <f>35674+563</f>
        <v>36237</v>
      </c>
      <c r="E11" s="522">
        <f>41948+563</f>
        <v>42511</v>
      </c>
      <c r="F11" s="522">
        <f>43557+637</f>
        <v>44194</v>
      </c>
      <c r="G11" s="522">
        <v>47643</v>
      </c>
      <c r="H11" s="523">
        <f>51247+730</f>
        <v>51977</v>
      </c>
      <c r="I11" s="524">
        <v>54392</v>
      </c>
      <c r="J11" s="524">
        <v>54879</v>
      </c>
      <c r="K11" s="524">
        <v>55241</v>
      </c>
      <c r="L11" s="524">
        <v>56182</v>
      </c>
      <c r="M11" s="524">
        <v>60372</v>
      </c>
      <c r="N11" s="524">
        <v>63034</v>
      </c>
      <c r="O11" s="524">
        <v>67097</v>
      </c>
      <c r="P11" s="524">
        <v>71615</v>
      </c>
      <c r="Q11" s="524">
        <v>78495</v>
      </c>
      <c r="R11" s="524">
        <v>82840</v>
      </c>
      <c r="S11" s="524">
        <v>86937</v>
      </c>
      <c r="T11" s="524">
        <v>91499</v>
      </c>
      <c r="U11" s="524">
        <v>96689</v>
      </c>
      <c r="V11" s="524">
        <v>92122</v>
      </c>
      <c r="W11" s="524">
        <v>93726</v>
      </c>
      <c r="X11" s="524">
        <v>95485</v>
      </c>
      <c r="Y11" s="524">
        <v>98781</v>
      </c>
      <c r="Z11" s="524">
        <v>99770</v>
      </c>
      <c r="AA11" s="524">
        <v>101723</v>
      </c>
      <c r="AB11" s="524">
        <v>102850</v>
      </c>
      <c r="AC11" s="524">
        <v>105271</v>
      </c>
      <c r="AD11" s="524">
        <v>105898</v>
      </c>
      <c r="AE11" s="524">
        <v>104991</v>
      </c>
      <c r="AF11" s="524">
        <v>105670.23</v>
      </c>
      <c r="AG11" s="524">
        <v>108693</v>
      </c>
      <c r="AH11" s="524">
        <v>107007</v>
      </c>
      <c r="AI11" s="524">
        <v>104263</v>
      </c>
      <c r="AJ11" s="207">
        <v>104266</v>
      </c>
      <c r="AK11" s="207">
        <v>102608</v>
      </c>
      <c r="AL11" s="207">
        <v>95938</v>
      </c>
      <c r="AM11" s="207">
        <v>90146</v>
      </c>
      <c r="AN11" s="207">
        <v>100659</v>
      </c>
      <c r="AO11" s="207">
        <v>94866</v>
      </c>
      <c r="AP11" s="207">
        <v>88813</v>
      </c>
      <c r="AQ11" s="207">
        <v>84789</v>
      </c>
      <c r="AR11" s="207">
        <v>82819</v>
      </c>
      <c r="AS11" s="374">
        <v>84191.621930092879</v>
      </c>
    </row>
    <row r="12" spans="1:68" ht="15" customHeight="1" x14ac:dyDescent="0.2">
      <c r="A12" s="525" t="s">
        <v>101</v>
      </c>
      <c r="B12" s="522">
        <f>41628+4238</f>
        <v>45866</v>
      </c>
      <c r="C12" s="522">
        <f>44694+4694</f>
        <v>49388</v>
      </c>
      <c r="D12" s="522">
        <f>49285+4674</f>
        <v>53959</v>
      </c>
      <c r="E12" s="522">
        <f>53474+5242</f>
        <v>58716</v>
      </c>
      <c r="F12" s="522">
        <f>56969+4673</f>
        <v>61642</v>
      </c>
      <c r="G12" s="522">
        <v>64889</v>
      </c>
      <c r="H12" s="523">
        <f>63746+5042</f>
        <v>68788</v>
      </c>
      <c r="I12" s="524">
        <v>72602</v>
      </c>
      <c r="J12" s="524">
        <v>72507</v>
      </c>
      <c r="K12" s="524">
        <v>73193</v>
      </c>
      <c r="L12" s="524">
        <v>74228</v>
      </c>
      <c r="M12" s="524">
        <v>80922</v>
      </c>
      <c r="N12" s="524">
        <v>84729</v>
      </c>
      <c r="O12" s="524">
        <v>88322</v>
      </c>
      <c r="P12" s="524">
        <v>91654</v>
      </c>
      <c r="Q12" s="524">
        <v>96884</v>
      </c>
      <c r="R12" s="524">
        <v>98738</v>
      </c>
      <c r="S12" s="524">
        <v>101462</v>
      </c>
      <c r="T12" s="524">
        <v>103901</v>
      </c>
      <c r="U12" s="524">
        <v>106972</v>
      </c>
      <c r="V12" s="524">
        <v>108321</v>
      </c>
      <c r="W12" s="524">
        <v>110952</v>
      </c>
      <c r="X12" s="524">
        <v>113308</v>
      </c>
      <c r="Y12" s="524">
        <v>116404</v>
      </c>
      <c r="Z12" s="524">
        <f>118263</f>
        <v>118263</v>
      </c>
      <c r="AA12" s="524">
        <v>122571</v>
      </c>
      <c r="AB12" s="524">
        <v>126116</v>
      </c>
      <c r="AC12" s="524">
        <v>129680</v>
      </c>
      <c r="AD12" s="524">
        <v>131553</v>
      </c>
      <c r="AE12" s="524">
        <v>133959</v>
      </c>
      <c r="AF12" s="524">
        <v>136945.65</v>
      </c>
      <c r="AG12" s="524">
        <v>140309</v>
      </c>
      <c r="AH12" s="524">
        <v>140859</v>
      </c>
      <c r="AI12" s="524">
        <v>142232</v>
      </c>
      <c r="AJ12" s="207">
        <v>143941</v>
      </c>
      <c r="AK12" s="207">
        <v>146540</v>
      </c>
      <c r="AL12" s="207">
        <v>146658</v>
      </c>
      <c r="AM12" s="207">
        <v>147911</v>
      </c>
      <c r="AN12" s="207">
        <v>169571</v>
      </c>
      <c r="AO12" s="207">
        <v>170994</v>
      </c>
      <c r="AP12" s="207">
        <v>170726</v>
      </c>
      <c r="AQ12" s="207">
        <v>170876</v>
      </c>
      <c r="AR12" s="207">
        <v>171008</v>
      </c>
      <c r="AS12" s="374">
        <v>174536.97766842175</v>
      </c>
    </row>
    <row r="13" spans="1:68" ht="5.0999999999999996" customHeight="1" x14ac:dyDescent="0.2">
      <c r="A13" s="526"/>
      <c r="B13" s="522"/>
      <c r="C13" s="522"/>
      <c r="D13" s="522"/>
      <c r="E13" s="522"/>
      <c r="F13" s="522"/>
      <c r="G13" s="522"/>
      <c r="H13" s="527"/>
      <c r="I13" s="526"/>
      <c r="J13" s="524"/>
      <c r="K13" s="524"/>
      <c r="L13" s="524"/>
      <c r="M13" s="524"/>
      <c r="N13" s="524"/>
      <c r="O13" s="524"/>
      <c r="P13" s="524"/>
      <c r="Q13" s="524"/>
      <c r="R13" s="524"/>
      <c r="S13" s="524"/>
      <c r="T13" s="524"/>
      <c r="U13" s="524"/>
      <c r="V13" s="524"/>
      <c r="W13" s="524"/>
      <c r="X13" s="524"/>
      <c r="Y13" s="524"/>
      <c r="Z13" s="524"/>
      <c r="AA13" s="524"/>
      <c r="AB13" s="524"/>
      <c r="AC13" s="524"/>
      <c r="AD13" s="524"/>
      <c r="AE13" s="524"/>
      <c r="AF13" s="524"/>
      <c r="AG13" s="524"/>
      <c r="AH13" s="524"/>
      <c r="AI13" s="524"/>
      <c r="AJ13" s="207"/>
      <c r="AK13" s="207"/>
      <c r="AL13" s="207"/>
      <c r="AM13" s="207"/>
      <c r="AN13" s="207"/>
      <c r="AO13" s="207"/>
      <c r="AP13" s="207"/>
      <c r="AQ13" s="207"/>
      <c r="AR13" s="207"/>
      <c r="AS13" s="207"/>
    </row>
    <row r="14" spans="1:68" ht="15" customHeight="1" thickBot="1" x14ac:dyDescent="0.25">
      <c r="A14" s="175" t="s">
        <v>13</v>
      </c>
      <c r="B14" s="562">
        <f t="shared" ref="B14:AL14" si="0">SUM(B10:B13)</f>
        <v>106236</v>
      </c>
      <c r="C14" s="562">
        <f t="shared" si="0"/>
        <v>113424</v>
      </c>
      <c r="D14" s="562">
        <f t="shared" si="0"/>
        <v>121594</v>
      </c>
      <c r="E14" s="562">
        <f t="shared" si="0"/>
        <v>137112</v>
      </c>
      <c r="F14" s="562">
        <f t="shared" si="0"/>
        <v>144329</v>
      </c>
      <c r="G14" s="562">
        <f t="shared" si="0"/>
        <v>154018</v>
      </c>
      <c r="H14" s="562">
        <f t="shared" si="0"/>
        <v>166406</v>
      </c>
      <c r="I14" s="562">
        <f t="shared" si="0"/>
        <v>179955</v>
      </c>
      <c r="J14" s="562">
        <f t="shared" si="0"/>
        <v>180048</v>
      </c>
      <c r="K14" s="562">
        <f t="shared" si="0"/>
        <v>179377</v>
      </c>
      <c r="L14" s="562">
        <f t="shared" si="0"/>
        <v>180969</v>
      </c>
      <c r="M14" s="562">
        <f t="shared" si="0"/>
        <v>190989</v>
      </c>
      <c r="N14" s="562">
        <f t="shared" si="0"/>
        <v>198107</v>
      </c>
      <c r="O14" s="562">
        <f t="shared" si="0"/>
        <v>208588</v>
      </c>
      <c r="P14" s="562">
        <f t="shared" si="0"/>
        <v>217274</v>
      </c>
      <c r="Q14" s="562">
        <f t="shared" si="0"/>
        <v>230614</v>
      </c>
      <c r="R14" s="562">
        <f t="shared" si="0"/>
        <v>239912</v>
      </c>
      <c r="S14" s="562">
        <f t="shared" si="0"/>
        <v>250834</v>
      </c>
      <c r="T14" s="562">
        <f t="shared" si="0"/>
        <v>260471</v>
      </c>
      <c r="U14" s="562">
        <f t="shared" si="0"/>
        <v>268668</v>
      </c>
      <c r="V14" s="562">
        <f t="shared" si="0"/>
        <v>269749</v>
      </c>
      <c r="W14" s="562">
        <f t="shared" si="0"/>
        <v>279166</v>
      </c>
      <c r="X14" s="562">
        <f t="shared" si="0"/>
        <v>284366</v>
      </c>
      <c r="Y14" s="562">
        <f t="shared" si="0"/>
        <v>290960</v>
      </c>
      <c r="Z14" s="562">
        <f t="shared" si="0"/>
        <v>297883</v>
      </c>
      <c r="AA14" s="562">
        <f t="shared" si="0"/>
        <v>305573</v>
      </c>
      <c r="AB14" s="562">
        <f t="shared" si="0"/>
        <v>311655</v>
      </c>
      <c r="AC14" s="562">
        <f t="shared" si="0"/>
        <v>323061</v>
      </c>
      <c r="AD14" s="562">
        <f t="shared" si="0"/>
        <v>328257</v>
      </c>
      <c r="AE14" s="562">
        <f t="shared" si="0"/>
        <v>328668</v>
      </c>
      <c r="AF14" s="562">
        <f t="shared" si="0"/>
        <v>335903.8</v>
      </c>
      <c r="AG14" s="562">
        <f t="shared" si="0"/>
        <v>346644</v>
      </c>
      <c r="AH14" s="562">
        <f t="shared" si="0"/>
        <v>352424</v>
      </c>
      <c r="AI14" s="561">
        <f t="shared" si="0"/>
        <v>355025</v>
      </c>
      <c r="AJ14" s="562">
        <f t="shared" si="0"/>
        <v>366055</v>
      </c>
      <c r="AK14" s="562">
        <f t="shared" si="0"/>
        <v>366995</v>
      </c>
      <c r="AL14" s="562">
        <f t="shared" si="0"/>
        <v>353724</v>
      </c>
      <c r="AM14" s="562">
        <f t="shared" ref="AM14:AR14" si="1">SUM(AM10:AM13)</f>
        <v>341821</v>
      </c>
      <c r="AN14" s="562">
        <f t="shared" si="1"/>
        <v>399409</v>
      </c>
      <c r="AO14" s="562">
        <f t="shared" si="1"/>
        <v>392151</v>
      </c>
      <c r="AP14" s="562">
        <f t="shared" si="1"/>
        <v>381950</v>
      </c>
      <c r="AQ14" s="562">
        <f t="shared" si="1"/>
        <v>375653</v>
      </c>
      <c r="AR14" s="562">
        <f t="shared" si="1"/>
        <v>368899</v>
      </c>
      <c r="AS14" s="562">
        <f t="shared" ref="AS14" si="2">SUM(AS10:AS13)</f>
        <v>370079.18436425459</v>
      </c>
    </row>
    <row r="15" spans="1:68" ht="12.95" customHeight="1" thickTop="1" x14ac:dyDescent="0.2">
      <c r="A15" s="526"/>
      <c r="B15" s="522"/>
      <c r="C15" s="522"/>
      <c r="D15" s="522"/>
      <c r="E15" s="522"/>
      <c r="F15" s="522"/>
      <c r="G15" s="522"/>
      <c r="H15" s="527"/>
      <c r="I15" s="526"/>
      <c r="J15" s="528"/>
      <c r="K15" s="528"/>
      <c r="L15" s="528"/>
      <c r="M15" s="528"/>
      <c r="N15" s="526"/>
      <c r="O15" s="526"/>
      <c r="P15" s="526"/>
      <c r="Q15" s="526"/>
      <c r="R15" s="526"/>
      <c r="S15" s="526"/>
      <c r="T15" s="526"/>
      <c r="U15" s="526"/>
      <c r="V15" s="526"/>
      <c r="W15" s="526"/>
      <c r="X15" s="526"/>
      <c r="Y15" s="526"/>
      <c r="Z15" s="526"/>
      <c r="AA15" s="526"/>
      <c r="AB15" s="526"/>
      <c r="AC15" s="526"/>
      <c r="AD15" s="526"/>
      <c r="AE15" s="526"/>
      <c r="AF15" s="526"/>
      <c r="AG15" s="526"/>
      <c r="AH15" s="526"/>
      <c r="AI15" s="526"/>
      <c r="AJ15" s="526"/>
      <c r="AK15" s="526"/>
      <c r="AL15" s="529"/>
    </row>
    <row r="16" spans="1:68" ht="12.95" customHeight="1" x14ac:dyDescent="0.2">
      <c r="A16" s="526"/>
      <c r="B16" s="522"/>
      <c r="C16" s="522"/>
      <c r="D16" s="522"/>
      <c r="E16" s="522"/>
      <c r="F16" s="522"/>
      <c r="G16" s="522"/>
      <c r="H16" s="527"/>
      <c r="I16" s="526"/>
      <c r="J16" s="528"/>
      <c r="K16" s="528"/>
      <c r="L16" s="528"/>
      <c r="M16" s="528"/>
      <c r="N16" s="526"/>
      <c r="O16" s="526"/>
      <c r="P16" s="526"/>
      <c r="Q16" s="526"/>
      <c r="R16" s="526"/>
      <c r="S16" s="526"/>
      <c r="T16" s="526"/>
      <c r="U16" s="526"/>
      <c r="V16" s="526"/>
      <c r="W16" s="526"/>
      <c r="X16" s="526"/>
      <c r="Y16" s="526"/>
      <c r="Z16" s="526"/>
      <c r="AA16" s="526"/>
      <c r="AB16" s="526"/>
      <c r="AC16" s="526"/>
      <c r="AD16" s="526"/>
      <c r="AE16" s="526"/>
      <c r="AF16" s="526"/>
      <c r="AG16" s="526"/>
      <c r="AH16" s="526"/>
      <c r="AI16" s="526"/>
      <c r="AJ16" s="526"/>
      <c r="AK16" s="526"/>
      <c r="AL16" s="529"/>
    </row>
    <row r="17" spans="2:38" ht="12.95" customHeight="1" x14ac:dyDescent="0.2">
      <c r="B17" s="530"/>
      <c r="C17" s="530"/>
      <c r="D17" s="530"/>
      <c r="E17" s="530"/>
      <c r="F17" s="530"/>
      <c r="G17" s="530"/>
      <c r="H17" s="531"/>
      <c r="J17" s="512"/>
      <c r="K17" s="512"/>
      <c r="L17" s="512"/>
      <c r="M17" s="512"/>
      <c r="AL17" s="529"/>
    </row>
  </sheetData>
  <hyperlinks>
    <hyperlink ref="AS6" location="Índex!E9" display="Índex"/>
  </hyperlinks>
  <printOptions horizontalCentered="1" gridLinesSet="0"/>
  <pageMargins left="0" right="0" top="0.39370078740157483" bottom="0" header="0" footer="0"/>
  <pageSetup paperSize="9" orientation="landscape" r:id="rId1"/>
  <headerFooter alignWithMargins="0">
    <oddHeader>&amp;R&amp;P/&amp;N</oddHeader>
  </headerFooter>
  <colBreaks count="5" manualBreakCount="5">
    <brk id="9" max="14" man="1"/>
    <brk id="17" max="14" man="1"/>
    <brk id="25" max="14" man="1"/>
    <brk id="33" max="14" man="1"/>
    <brk id="41" max="14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81"/>
  <dimension ref="A1:BR82"/>
  <sheetViews>
    <sheetView showGridLines="0" zoomScaleNormal="100" workbookViewId="0">
      <pane xSplit="1" ySplit="9" topLeftCell="H10" activePane="bottomRight" state="frozen"/>
      <selection activeCell="E9" sqref="E9"/>
      <selection pane="topRight" activeCell="E9" sqref="E9"/>
      <selection pane="bottomLeft" activeCell="E9" sqref="E9"/>
      <selection pane="bottomRight" activeCell="R6" sqref="R6"/>
    </sheetView>
  </sheetViews>
  <sheetFormatPr defaultColWidth="10.7109375" defaultRowHeight="12.75" x14ac:dyDescent="0.2"/>
  <cols>
    <col min="1" max="1" width="36.42578125" style="188" customWidth="1"/>
    <col min="2" max="10" width="10.7109375" style="26"/>
    <col min="11" max="16384" width="10.7109375" style="17"/>
  </cols>
  <sheetData>
    <row r="1" spans="1:70" s="25" customFormat="1" ht="15" customHeight="1" x14ac:dyDescent="0.2">
      <c r="A1" s="455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56"/>
      <c r="U1" s="56"/>
      <c r="V1" s="56"/>
    </row>
    <row r="2" spans="1:70" s="25" customFormat="1" ht="15" customHeight="1" x14ac:dyDescent="0.2">
      <c r="A2" s="179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</row>
    <row r="3" spans="1:70" s="25" customFormat="1" ht="15" customHeight="1" x14ac:dyDescent="0.25">
      <c r="A3" s="179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</row>
    <row r="4" spans="1:70" s="25" customFormat="1" ht="15" customHeight="1" x14ac:dyDescent="0.2">
      <c r="A4" s="456" t="s">
        <v>1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</row>
    <row r="5" spans="1:70" s="25" customFormat="1" ht="30" customHeight="1" thickBot="1" x14ac:dyDescent="0.35">
      <c r="A5" s="481" t="s">
        <v>470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59"/>
      <c r="U5" s="59"/>
      <c r="V5" s="59"/>
      <c r="X5" s="114"/>
      <c r="AB5" s="114"/>
      <c r="AD5" s="134"/>
      <c r="AG5" s="65"/>
      <c r="AH5" s="61"/>
      <c r="AI5" s="194"/>
      <c r="AJ5" s="194"/>
      <c r="AK5" s="378"/>
      <c r="AL5" s="194"/>
      <c r="AM5" s="194"/>
      <c r="AN5" s="194"/>
      <c r="AO5" s="243"/>
    </row>
    <row r="6" spans="1:70" ht="15" customHeight="1" thickTop="1" x14ac:dyDescent="0.3">
      <c r="A6" s="457"/>
      <c r="B6" s="18"/>
      <c r="C6" s="18"/>
      <c r="D6" s="18"/>
      <c r="E6" s="18"/>
      <c r="F6" s="18"/>
      <c r="G6" s="18"/>
      <c r="H6" s="18"/>
      <c r="I6" s="18"/>
      <c r="J6" s="18"/>
      <c r="K6" s="114"/>
      <c r="M6" s="114"/>
      <c r="N6" s="379"/>
      <c r="O6" s="400"/>
      <c r="P6" s="400"/>
      <c r="Q6" s="400"/>
      <c r="R6" s="400" t="s">
        <v>662</v>
      </c>
      <c r="AH6" s="25"/>
      <c r="AI6" s="25"/>
      <c r="AJ6" s="25"/>
      <c r="AK6" s="25"/>
      <c r="AL6" s="25"/>
      <c r="AM6" s="25"/>
      <c r="AN6" s="25"/>
      <c r="AO6" s="25"/>
    </row>
    <row r="7" spans="1:70" s="183" customFormat="1" ht="15" customHeight="1" x14ac:dyDescent="0.2">
      <c r="A7" s="182"/>
      <c r="B7" s="156" t="s">
        <v>337</v>
      </c>
      <c r="C7" s="156" t="s">
        <v>49</v>
      </c>
      <c r="D7" s="156" t="s">
        <v>50</v>
      </c>
      <c r="E7" s="156" t="s">
        <v>328</v>
      </c>
      <c r="F7" s="156" t="s">
        <v>338</v>
      </c>
      <c r="G7" s="156" t="s">
        <v>51</v>
      </c>
      <c r="H7" s="156" t="s">
        <v>52</v>
      </c>
      <c r="I7" s="156" t="s">
        <v>329</v>
      </c>
      <c r="J7" s="156" t="s">
        <v>339</v>
      </c>
      <c r="K7" s="156" t="s">
        <v>53</v>
      </c>
      <c r="L7" s="156" t="s">
        <v>54</v>
      </c>
      <c r="M7" s="156" t="s">
        <v>330</v>
      </c>
      <c r="N7" s="156" t="s">
        <v>340</v>
      </c>
      <c r="O7" s="401" t="s">
        <v>71</v>
      </c>
      <c r="P7" s="591" t="s">
        <v>374</v>
      </c>
      <c r="Q7" s="664" t="s">
        <v>376</v>
      </c>
      <c r="R7" s="664" t="s">
        <v>399</v>
      </c>
      <c r="AH7" s="243"/>
      <c r="AI7" s="243"/>
      <c r="AJ7" s="243"/>
      <c r="AK7" s="243"/>
      <c r="AL7" s="243"/>
      <c r="AM7" s="243"/>
      <c r="AN7" s="243"/>
      <c r="AO7" s="243"/>
    </row>
    <row r="8" spans="1:70" s="178" customFormat="1" ht="9.9499999999999993" customHeight="1" x14ac:dyDescent="0.2">
      <c r="A8" s="184"/>
      <c r="B8" s="158"/>
      <c r="C8" s="158"/>
      <c r="D8" s="158"/>
      <c r="E8" s="158"/>
      <c r="F8" s="158"/>
      <c r="G8" s="158"/>
      <c r="H8" s="158"/>
      <c r="I8" s="158"/>
      <c r="J8" s="158"/>
      <c r="K8" s="158"/>
      <c r="L8" s="158"/>
      <c r="M8" s="158"/>
      <c r="N8" s="158"/>
      <c r="O8" s="158"/>
      <c r="P8" s="158"/>
      <c r="Q8" s="158"/>
      <c r="R8" s="158"/>
      <c r="S8" s="191"/>
      <c r="T8" s="191"/>
      <c r="U8" s="191"/>
      <c r="V8" s="191"/>
      <c r="W8" s="191"/>
      <c r="X8" s="191"/>
      <c r="Y8" s="191"/>
      <c r="Z8" s="191"/>
      <c r="AA8" s="191"/>
      <c r="AB8" s="191"/>
      <c r="AC8" s="191"/>
      <c r="AD8" s="191"/>
    </row>
    <row r="9" spans="1:70" s="178" customFormat="1" ht="5.0999999999999996" customHeight="1" x14ac:dyDescent="0.2">
      <c r="A9" s="203"/>
      <c r="B9" s="203"/>
      <c r="C9" s="203"/>
      <c r="D9" s="203"/>
      <c r="E9" s="203"/>
      <c r="F9" s="203"/>
      <c r="G9" s="203"/>
      <c r="H9" s="203"/>
      <c r="I9" s="203"/>
      <c r="J9" s="203"/>
      <c r="K9" s="203"/>
      <c r="L9" s="203"/>
      <c r="M9" s="203"/>
      <c r="N9" s="203"/>
      <c r="O9" s="203"/>
      <c r="P9" s="203"/>
      <c r="Q9" s="203"/>
      <c r="R9" s="203"/>
    </row>
    <row r="10" spans="1:70" s="164" customFormat="1" ht="15" customHeight="1" x14ac:dyDescent="0.2">
      <c r="A10" s="213" t="s">
        <v>25</v>
      </c>
      <c r="B10" s="166">
        <v>183845.79821278001</v>
      </c>
      <c r="C10" s="166">
        <v>186865.25000000003</v>
      </c>
      <c r="D10" s="166">
        <v>187982.81</v>
      </c>
      <c r="E10" s="166">
        <v>192810.40999999997</v>
      </c>
      <c r="F10" s="166">
        <v>197188.48000000001</v>
      </c>
      <c r="G10" s="166">
        <v>206337.8240009</v>
      </c>
      <c r="H10" s="166">
        <v>208173</v>
      </c>
      <c r="I10" s="166">
        <v>217525</v>
      </c>
      <c r="J10" s="166">
        <v>215892</v>
      </c>
      <c r="K10" s="166">
        <v>212237</v>
      </c>
      <c r="L10" s="166">
        <v>201228</v>
      </c>
      <c r="M10" s="166">
        <v>240120</v>
      </c>
      <c r="N10" s="166">
        <v>240410</v>
      </c>
      <c r="O10" s="166">
        <v>234444</v>
      </c>
      <c r="P10" s="166">
        <v>229021</v>
      </c>
      <c r="Q10" s="166">
        <v>223801</v>
      </c>
      <c r="R10" s="374">
        <v>225248.38030867997</v>
      </c>
      <c r="S10" s="166"/>
      <c r="T10" s="166"/>
      <c r="U10" s="166"/>
      <c r="V10" s="166"/>
      <c r="W10" s="166"/>
      <c r="X10" s="166"/>
      <c r="Y10" s="166"/>
      <c r="Z10" s="166"/>
      <c r="AA10" s="166"/>
      <c r="AB10" s="166"/>
      <c r="AC10" s="166"/>
      <c r="AD10" s="166"/>
      <c r="AE10" s="166"/>
      <c r="AF10" s="166"/>
      <c r="AG10" s="166"/>
      <c r="AH10" s="166"/>
      <c r="AI10" s="166"/>
      <c r="AJ10" s="166"/>
      <c r="AK10" s="166"/>
      <c r="AL10" s="166"/>
      <c r="AM10" s="166"/>
      <c r="AN10" s="166"/>
      <c r="AO10" s="166"/>
      <c r="AP10" s="166"/>
      <c r="AQ10" s="166"/>
      <c r="AR10" s="166"/>
      <c r="AS10" s="166"/>
      <c r="AT10" s="166"/>
      <c r="AU10" s="166"/>
      <c r="AV10" s="166"/>
      <c r="AW10" s="166"/>
      <c r="AX10" s="166"/>
      <c r="AY10" s="166"/>
      <c r="AZ10" s="166"/>
      <c r="BA10" s="166"/>
      <c r="BB10" s="166"/>
      <c r="BC10" s="166"/>
      <c r="BD10" s="166"/>
      <c r="BE10" s="166"/>
      <c r="BF10" s="166"/>
      <c r="BG10" s="166"/>
      <c r="BH10" s="166"/>
      <c r="BI10" s="166"/>
      <c r="BJ10" s="166"/>
      <c r="BK10" s="166"/>
      <c r="BL10" s="166"/>
      <c r="BM10" s="166"/>
      <c r="BN10" s="166"/>
      <c r="BO10" s="166"/>
      <c r="BP10" s="166"/>
      <c r="BQ10" s="166"/>
      <c r="BR10" s="178"/>
    </row>
    <row r="11" spans="1:70" s="164" customFormat="1" ht="15" customHeight="1" x14ac:dyDescent="0.2">
      <c r="A11" s="213" t="s">
        <v>635</v>
      </c>
      <c r="B11" s="166">
        <v>112677.28186421501</v>
      </c>
      <c r="C11" s="166">
        <v>112780.03000000001</v>
      </c>
      <c r="D11" s="166">
        <v>112180.13999999998</v>
      </c>
      <c r="E11" s="166">
        <v>113357.53</v>
      </c>
      <c r="F11" s="166">
        <v>116506.49999999999</v>
      </c>
      <c r="G11" s="166">
        <v>114915.9212327</v>
      </c>
      <c r="H11" s="166">
        <v>111772</v>
      </c>
      <c r="I11" s="166">
        <v>111729</v>
      </c>
      <c r="J11" s="166">
        <v>110386</v>
      </c>
      <c r="K11" s="166">
        <v>103212</v>
      </c>
      <c r="L11" s="166">
        <v>97345</v>
      </c>
      <c r="M11" s="166">
        <v>110584</v>
      </c>
      <c r="N11" s="166">
        <v>102535</v>
      </c>
      <c r="O11" s="166">
        <v>96450</v>
      </c>
      <c r="P11" s="166">
        <v>92500</v>
      </c>
      <c r="Q11" s="166">
        <v>90856</v>
      </c>
      <c r="R11" s="374">
        <v>92213.55200629287</v>
      </c>
      <c r="S11" s="166"/>
      <c r="T11" s="166"/>
      <c r="U11" s="166"/>
      <c r="V11" s="166"/>
      <c r="W11" s="166"/>
      <c r="X11" s="166"/>
      <c r="Y11" s="166"/>
      <c r="Z11" s="166"/>
      <c r="AA11" s="166"/>
      <c r="AB11" s="166"/>
      <c r="AC11" s="166"/>
      <c r="AD11" s="166"/>
      <c r="AE11" s="166"/>
      <c r="AF11" s="166"/>
      <c r="AG11" s="166"/>
      <c r="AH11" s="166"/>
      <c r="AI11" s="166"/>
      <c r="AJ11" s="166"/>
      <c r="AK11" s="166"/>
      <c r="AL11" s="166"/>
      <c r="AM11" s="166"/>
      <c r="AN11" s="166"/>
      <c r="AO11" s="166"/>
      <c r="AP11" s="166"/>
      <c r="AQ11" s="166"/>
      <c r="AR11" s="166"/>
      <c r="AS11" s="166"/>
      <c r="AT11" s="166"/>
      <c r="AU11" s="166"/>
      <c r="AV11" s="166"/>
      <c r="AW11" s="166"/>
      <c r="AX11" s="166"/>
      <c r="AY11" s="166"/>
      <c r="AZ11" s="166"/>
      <c r="BA11" s="166"/>
      <c r="BB11" s="166"/>
      <c r="BC11" s="166"/>
      <c r="BD11" s="166"/>
      <c r="BE11" s="166"/>
      <c r="BF11" s="166"/>
      <c r="BG11" s="166"/>
      <c r="BH11" s="166"/>
      <c r="BI11" s="166"/>
      <c r="BJ11" s="166"/>
      <c r="BK11" s="166"/>
      <c r="BL11" s="166"/>
      <c r="BM11" s="166"/>
      <c r="BN11" s="166"/>
      <c r="BO11" s="166"/>
      <c r="BP11" s="166"/>
      <c r="BQ11" s="166"/>
      <c r="BR11" s="178"/>
    </row>
    <row r="12" spans="1:70" s="164" customFormat="1" ht="15" customHeight="1" x14ac:dyDescent="0.2">
      <c r="A12" s="434" t="s">
        <v>101</v>
      </c>
      <c r="B12" s="166">
        <v>130749</v>
      </c>
      <c r="C12" s="166">
        <v>132651.6</v>
      </c>
      <c r="D12" s="166">
        <v>135067.69999999998</v>
      </c>
      <c r="E12" s="166">
        <v>138027.54999999999</v>
      </c>
      <c r="F12" s="166">
        <v>141432.46</v>
      </c>
      <c r="G12" s="166">
        <v>142050.75999999998</v>
      </c>
      <c r="H12" s="166">
        <v>143461</v>
      </c>
      <c r="I12" s="166">
        <v>145234</v>
      </c>
      <c r="J12" s="166">
        <v>147749</v>
      </c>
      <c r="K12" s="166">
        <v>147759</v>
      </c>
      <c r="L12" s="166">
        <v>148919</v>
      </c>
      <c r="M12" s="166">
        <v>171067</v>
      </c>
      <c r="N12" s="166">
        <v>172045</v>
      </c>
      <c r="O12" s="166">
        <v>171820</v>
      </c>
      <c r="P12" s="166">
        <v>172045</v>
      </c>
      <c r="Q12" s="166">
        <v>172207</v>
      </c>
      <c r="R12" s="374">
        <v>175469.45321122176</v>
      </c>
      <c r="S12" s="166"/>
      <c r="T12" s="166"/>
      <c r="U12" s="166"/>
      <c r="V12" s="166"/>
      <c r="W12" s="166"/>
      <c r="X12" s="166"/>
      <c r="Y12" s="166"/>
      <c r="Z12" s="166"/>
      <c r="AA12" s="166"/>
      <c r="AB12" s="166"/>
      <c r="AC12" s="166"/>
      <c r="AD12" s="166"/>
      <c r="AE12" s="166"/>
      <c r="AF12" s="166"/>
      <c r="AG12" s="166"/>
      <c r="AH12" s="166"/>
      <c r="AI12" s="166"/>
      <c r="AJ12" s="166"/>
      <c r="AK12" s="166"/>
      <c r="AL12" s="166"/>
      <c r="AM12" s="166"/>
      <c r="AN12" s="166"/>
      <c r="AO12" s="166"/>
      <c r="AP12" s="166"/>
      <c r="AQ12" s="166"/>
      <c r="AR12" s="166"/>
      <c r="AS12" s="166"/>
      <c r="AT12" s="166"/>
      <c r="AU12" s="166"/>
      <c r="AV12" s="166"/>
      <c r="AW12" s="166"/>
      <c r="AX12" s="166"/>
      <c r="AY12" s="166"/>
      <c r="AZ12" s="166"/>
      <c r="BA12" s="166"/>
      <c r="BB12" s="166"/>
      <c r="BC12" s="166"/>
      <c r="BD12" s="166"/>
      <c r="BE12" s="166"/>
      <c r="BF12" s="166"/>
      <c r="BG12" s="166"/>
      <c r="BH12" s="166"/>
      <c r="BI12" s="166"/>
      <c r="BJ12" s="166"/>
      <c r="BK12" s="166"/>
      <c r="BL12" s="166"/>
      <c r="BM12" s="166"/>
      <c r="BN12" s="166"/>
      <c r="BO12" s="166"/>
      <c r="BP12" s="166"/>
      <c r="BQ12" s="166"/>
      <c r="BR12" s="178"/>
    </row>
    <row r="13" spans="1:70" s="144" customFormat="1" ht="5.0999999999999996" customHeight="1" x14ac:dyDescent="0.2">
      <c r="A13" s="206"/>
      <c r="B13" s="207"/>
      <c r="C13" s="207"/>
      <c r="D13" s="207"/>
      <c r="E13" s="207"/>
      <c r="F13" s="207"/>
      <c r="G13" s="207"/>
      <c r="H13" s="207"/>
      <c r="I13" s="207"/>
      <c r="J13" s="207"/>
      <c r="K13" s="207"/>
      <c r="L13" s="207"/>
      <c r="M13" s="207"/>
      <c r="N13" s="207"/>
      <c r="O13" s="207"/>
      <c r="P13" s="207"/>
      <c r="Q13" s="207"/>
      <c r="R13" s="207"/>
      <c r="BR13" s="178"/>
    </row>
    <row r="14" spans="1:70" s="178" customFormat="1" ht="15" customHeight="1" thickBot="1" x14ac:dyDescent="0.25">
      <c r="A14" s="175" t="s">
        <v>13</v>
      </c>
      <c r="B14" s="176">
        <f t="shared" ref="B14:K14" si="0">SUM(B10:B13)</f>
        <v>427272.08007699501</v>
      </c>
      <c r="C14" s="176">
        <f t="shared" si="0"/>
        <v>432296.88</v>
      </c>
      <c r="D14" s="176">
        <f t="shared" si="0"/>
        <v>435230.64999999991</v>
      </c>
      <c r="E14" s="176">
        <f t="shared" si="0"/>
        <v>444195.48999999993</v>
      </c>
      <c r="F14" s="176">
        <f t="shared" si="0"/>
        <v>455127.43999999994</v>
      </c>
      <c r="G14" s="176">
        <f t="shared" si="0"/>
        <v>463304.50523360004</v>
      </c>
      <c r="H14" s="176">
        <f t="shared" si="0"/>
        <v>463406</v>
      </c>
      <c r="I14" s="176">
        <f t="shared" si="0"/>
        <v>474488</v>
      </c>
      <c r="J14" s="176">
        <f t="shared" si="0"/>
        <v>474027</v>
      </c>
      <c r="K14" s="176">
        <f t="shared" si="0"/>
        <v>463208</v>
      </c>
      <c r="L14" s="176">
        <f t="shared" ref="L14:Q14" si="1">SUM(L10:L13)</f>
        <v>447492</v>
      </c>
      <c r="M14" s="176">
        <f t="shared" si="1"/>
        <v>521771</v>
      </c>
      <c r="N14" s="176">
        <f t="shared" si="1"/>
        <v>514990</v>
      </c>
      <c r="O14" s="176">
        <f t="shared" si="1"/>
        <v>502714</v>
      </c>
      <c r="P14" s="176">
        <f t="shared" si="1"/>
        <v>493566</v>
      </c>
      <c r="Q14" s="176">
        <f t="shared" si="1"/>
        <v>486864</v>
      </c>
      <c r="R14" s="176">
        <f t="shared" ref="R14" si="2">SUM(R10:R13)</f>
        <v>492931.38552619459</v>
      </c>
      <c r="S14" s="193"/>
      <c r="T14" s="193"/>
      <c r="U14" s="193"/>
      <c r="V14" s="193"/>
      <c r="W14" s="193"/>
      <c r="X14" s="193"/>
      <c r="Y14" s="193"/>
      <c r="Z14" s="193"/>
      <c r="AA14" s="193"/>
      <c r="AB14" s="193"/>
      <c r="AC14" s="193"/>
      <c r="AD14" s="193"/>
      <c r="AE14" s="193"/>
      <c r="AF14" s="193"/>
      <c r="AG14" s="193"/>
      <c r="AH14" s="193"/>
      <c r="AI14" s="193"/>
      <c r="AJ14" s="193"/>
      <c r="AK14" s="193"/>
      <c r="AL14" s="193"/>
      <c r="AM14" s="193"/>
      <c r="AN14" s="193"/>
      <c r="AO14" s="193"/>
      <c r="AP14" s="193"/>
      <c r="AQ14" s="193"/>
      <c r="AR14" s="193"/>
      <c r="AS14" s="193"/>
      <c r="AT14" s="193"/>
      <c r="AU14" s="193"/>
      <c r="AV14" s="193"/>
      <c r="AW14" s="193"/>
      <c r="AX14" s="193"/>
      <c r="AY14" s="193"/>
      <c r="AZ14" s="193"/>
      <c r="BA14" s="193"/>
      <c r="BB14" s="193"/>
      <c r="BC14" s="193"/>
      <c r="BD14" s="193"/>
      <c r="BE14" s="193"/>
      <c r="BF14" s="193"/>
      <c r="BG14" s="193"/>
      <c r="BH14" s="193"/>
      <c r="BI14" s="193"/>
      <c r="BJ14" s="193"/>
      <c r="BK14" s="193"/>
      <c r="BL14" s="193"/>
      <c r="BM14" s="193"/>
      <c r="BN14" s="193"/>
      <c r="BO14" s="193"/>
      <c r="BP14" s="193"/>
      <c r="BQ14" s="193"/>
      <c r="BR14" s="193"/>
    </row>
    <row r="15" spans="1:70" ht="12.95" customHeight="1" thickTop="1" x14ac:dyDescent="0.2">
      <c r="A15" s="206"/>
      <c r="B15" s="21"/>
      <c r="C15" s="21"/>
      <c r="D15" s="21"/>
      <c r="E15" s="21"/>
      <c r="F15" s="21"/>
      <c r="G15" s="21"/>
      <c r="H15" s="21"/>
      <c r="I15" s="21"/>
      <c r="J15" s="21"/>
    </row>
    <row r="16" spans="1:70" s="36" customFormat="1" ht="12" x14ac:dyDescent="0.2">
      <c r="A16" s="502"/>
      <c r="B16" s="21"/>
      <c r="C16" s="21"/>
      <c r="D16" s="21"/>
      <c r="E16" s="27"/>
      <c r="F16" s="27"/>
      <c r="G16" s="27"/>
      <c r="H16" s="27"/>
      <c r="I16" s="27"/>
      <c r="J16" s="27"/>
    </row>
    <row r="17" spans="1:18" s="36" customFormat="1" ht="12.95" customHeight="1" x14ac:dyDescent="0.2">
      <c r="A17" s="188"/>
      <c r="B17" s="166"/>
      <c r="C17" s="166"/>
      <c r="D17" s="166"/>
      <c r="E17" s="166"/>
      <c r="F17" s="166"/>
      <c r="G17" s="166"/>
      <c r="H17" s="166"/>
      <c r="I17" s="166"/>
      <c r="J17" s="166"/>
      <c r="K17" s="166"/>
      <c r="L17" s="166"/>
      <c r="M17" s="166"/>
      <c r="N17" s="166"/>
      <c r="O17" s="166"/>
      <c r="P17" s="166"/>
      <c r="Q17" s="166"/>
      <c r="R17" s="166"/>
    </row>
    <row r="18" spans="1:18" s="36" customFormat="1" ht="12" x14ac:dyDescent="0.2">
      <c r="A18" s="188"/>
      <c r="B18" s="26"/>
      <c r="C18" s="26"/>
      <c r="D18" s="26"/>
      <c r="E18" s="26"/>
      <c r="F18" s="26"/>
      <c r="G18" s="26"/>
      <c r="H18" s="26"/>
      <c r="I18" s="26"/>
      <c r="J18" s="26"/>
    </row>
    <row r="19" spans="1:18" s="36" customFormat="1" ht="12" x14ac:dyDescent="0.2">
      <c r="A19" s="188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</row>
    <row r="20" spans="1:18" s="36" customFormat="1" ht="12" x14ac:dyDescent="0.2">
      <c r="A20" s="188"/>
      <c r="B20" s="26"/>
      <c r="C20" s="26"/>
      <c r="D20" s="26"/>
      <c r="E20" s="26"/>
      <c r="F20" s="26"/>
      <c r="G20" s="26"/>
      <c r="H20" s="26"/>
      <c r="I20" s="26"/>
      <c r="J20" s="26"/>
    </row>
    <row r="21" spans="1:18" s="36" customFormat="1" ht="12" x14ac:dyDescent="0.2">
      <c r="A21" s="188"/>
      <c r="B21" s="26"/>
      <c r="C21" s="26"/>
      <c r="D21" s="26"/>
      <c r="E21" s="26"/>
      <c r="F21" s="26"/>
      <c r="G21" s="26"/>
      <c r="H21" s="26"/>
      <c r="I21" s="26"/>
      <c r="J21" s="26"/>
    </row>
    <row r="22" spans="1:18" s="36" customFormat="1" ht="12" x14ac:dyDescent="0.2">
      <c r="A22" s="188"/>
      <c r="B22" s="26"/>
      <c r="C22" s="26"/>
      <c r="D22" s="26"/>
      <c r="E22" s="26"/>
      <c r="F22" s="26"/>
      <c r="G22" s="26"/>
      <c r="H22" s="26"/>
      <c r="I22" s="26"/>
      <c r="J22" s="26"/>
    </row>
    <row r="23" spans="1:18" s="36" customFormat="1" ht="12" x14ac:dyDescent="0.2">
      <c r="A23" s="188"/>
      <c r="B23" s="26"/>
      <c r="C23" s="26"/>
      <c r="D23" s="26"/>
      <c r="E23" s="26"/>
      <c r="F23" s="26"/>
      <c r="G23" s="26"/>
      <c r="H23" s="26"/>
      <c r="I23" s="26"/>
      <c r="J23" s="26"/>
    </row>
    <row r="24" spans="1:18" s="36" customFormat="1" ht="12" x14ac:dyDescent="0.2">
      <c r="A24" s="188"/>
      <c r="B24" s="26"/>
      <c r="C24" s="26"/>
      <c r="D24" s="26"/>
      <c r="E24" s="26"/>
      <c r="F24" s="26"/>
      <c r="G24" s="26"/>
      <c r="H24" s="26"/>
      <c r="I24" s="26"/>
      <c r="J24" s="26"/>
    </row>
    <row r="25" spans="1:18" s="36" customFormat="1" ht="12" x14ac:dyDescent="0.2">
      <c r="A25" s="188"/>
      <c r="B25" s="26"/>
      <c r="C25" s="26"/>
      <c r="D25" s="26"/>
      <c r="E25" s="26"/>
      <c r="F25" s="26"/>
      <c r="G25" s="26"/>
      <c r="H25" s="26"/>
      <c r="I25" s="26"/>
      <c r="J25" s="26"/>
    </row>
    <row r="26" spans="1:18" s="36" customFormat="1" ht="12" x14ac:dyDescent="0.2">
      <c r="A26" s="188"/>
      <c r="B26" s="26"/>
      <c r="C26" s="26"/>
      <c r="D26" s="26"/>
      <c r="E26" s="26"/>
      <c r="F26" s="26"/>
      <c r="G26" s="26"/>
      <c r="H26" s="26"/>
      <c r="I26" s="26"/>
      <c r="J26" s="26"/>
    </row>
    <row r="27" spans="1:18" s="36" customFormat="1" ht="12" x14ac:dyDescent="0.2">
      <c r="A27" s="188"/>
      <c r="B27" s="26"/>
      <c r="C27" s="26"/>
      <c r="D27" s="26"/>
      <c r="E27" s="26"/>
      <c r="F27" s="26"/>
      <c r="G27" s="26"/>
      <c r="H27" s="26"/>
      <c r="I27" s="26"/>
      <c r="J27" s="26"/>
    </row>
    <row r="28" spans="1:18" s="36" customFormat="1" ht="12" x14ac:dyDescent="0.2">
      <c r="A28" s="188"/>
      <c r="B28" s="26"/>
      <c r="C28" s="26"/>
      <c r="D28" s="26"/>
      <c r="E28" s="26"/>
      <c r="F28" s="26"/>
      <c r="G28" s="26"/>
      <c r="H28" s="26"/>
      <c r="I28" s="26"/>
      <c r="J28" s="26"/>
    </row>
    <row r="29" spans="1:18" s="36" customFormat="1" ht="12" x14ac:dyDescent="0.2">
      <c r="A29" s="188"/>
      <c r="B29" s="26"/>
      <c r="C29" s="26"/>
      <c r="D29" s="26"/>
      <c r="E29" s="26"/>
      <c r="F29" s="26"/>
      <c r="G29" s="26"/>
      <c r="H29" s="26"/>
      <c r="I29" s="26"/>
      <c r="J29" s="26"/>
    </row>
    <row r="30" spans="1:18" s="36" customFormat="1" ht="12" x14ac:dyDescent="0.2">
      <c r="A30" s="188"/>
      <c r="B30" s="26"/>
      <c r="C30" s="26"/>
      <c r="D30" s="26"/>
      <c r="E30" s="26"/>
      <c r="F30" s="26"/>
      <c r="G30" s="26"/>
      <c r="H30" s="26"/>
      <c r="I30" s="26"/>
      <c r="J30" s="26"/>
    </row>
    <row r="31" spans="1:18" s="36" customFormat="1" ht="12" x14ac:dyDescent="0.2">
      <c r="A31" s="188"/>
      <c r="B31" s="26"/>
      <c r="C31" s="26"/>
      <c r="D31" s="26"/>
      <c r="E31" s="26"/>
      <c r="F31" s="26"/>
      <c r="G31" s="26"/>
      <c r="H31" s="26"/>
      <c r="I31" s="26"/>
      <c r="J31" s="26"/>
    </row>
    <row r="32" spans="1:18" s="36" customFormat="1" ht="12" x14ac:dyDescent="0.2">
      <c r="A32" s="188"/>
      <c r="B32" s="26"/>
      <c r="C32" s="26"/>
      <c r="D32" s="26"/>
      <c r="E32" s="26"/>
      <c r="F32" s="26"/>
      <c r="G32" s="26"/>
      <c r="H32" s="26"/>
      <c r="I32" s="26"/>
      <c r="J32" s="26"/>
    </row>
    <row r="33" spans="1:11" s="36" customFormat="1" ht="12" x14ac:dyDescent="0.2">
      <c r="A33" s="188"/>
      <c r="B33" s="26"/>
      <c r="C33" s="26"/>
      <c r="D33" s="26"/>
      <c r="E33" s="26"/>
      <c r="F33" s="26"/>
      <c r="G33" s="26"/>
      <c r="H33" s="26"/>
      <c r="I33" s="26"/>
      <c r="J33" s="26"/>
      <c r="K33" s="704"/>
    </row>
    <row r="34" spans="1:11" s="36" customFormat="1" ht="12" x14ac:dyDescent="0.2">
      <c r="A34" s="188"/>
      <c r="B34" s="26"/>
      <c r="C34" s="26"/>
      <c r="D34" s="26"/>
      <c r="E34" s="26"/>
      <c r="F34" s="26"/>
      <c r="G34" s="26"/>
      <c r="H34" s="26"/>
      <c r="I34" s="26"/>
      <c r="J34" s="26"/>
    </row>
    <row r="35" spans="1:11" s="36" customFormat="1" ht="12" x14ac:dyDescent="0.2">
      <c r="A35" s="188"/>
      <c r="B35" s="26"/>
      <c r="C35" s="26"/>
      <c r="D35" s="26"/>
      <c r="E35" s="26"/>
      <c r="F35" s="26"/>
      <c r="G35" s="26"/>
      <c r="H35" s="26"/>
      <c r="I35" s="26"/>
      <c r="J35" s="26"/>
    </row>
    <row r="36" spans="1:11" s="36" customFormat="1" ht="12" x14ac:dyDescent="0.2">
      <c r="A36" s="188"/>
      <c r="B36" s="26"/>
      <c r="C36" s="26"/>
      <c r="D36" s="26"/>
      <c r="E36" s="26"/>
      <c r="F36" s="26"/>
      <c r="G36" s="26"/>
      <c r="H36" s="26"/>
      <c r="I36" s="26"/>
      <c r="J36" s="26"/>
    </row>
    <row r="37" spans="1:11" s="36" customFormat="1" ht="12" x14ac:dyDescent="0.2">
      <c r="A37" s="188"/>
      <c r="B37" s="26"/>
      <c r="C37" s="26"/>
      <c r="D37" s="26"/>
      <c r="E37" s="26"/>
      <c r="F37" s="26"/>
      <c r="G37" s="26"/>
      <c r="H37" s="26"/>
      <c r="I37" s="26"/>
      <c r="J37" s="26"/>
    </row>
    <row r="38" spans="1:11" s="36" customFormat="1" ht="12" x14ac:dyDescent="0.2">
      <c r="A38" s="188"/>
      <c r="B38" s="26"/>
      <c r="C38" s="26"/>
      <c r="D38" s="26"/>
      <c r="E38" s="26"/>
      <c r="F38" s="26"/>
      <c r="G38" s="26"/>
      <c r="H38" s="26"/>
      <c r="I38" s="26"/>
      <c r="J38" s="26"/>
    </row>
    <row r="39" spans="1:11" s="36" customFormat="1" ht="12" x14ac:dyDescent="0.2">
      <c r="A39" s="188"/>
      <c r="B39" s="26"/>
      <c r="C39" s="26"/>
      <c r="D39" s="26"/>
      <c r="E39" s="26"/>
      <c r="F39" s="26"/>
      <c r="G39" s="26"/>
      <c r="H39" s="26"/>
      <c r="I39" s="26"/>
      <c r="J39" s="26"/>
    </row>
    <row r="40" spans="1:11" s="36" customFormat="1" ht="12" x14ac:dyDescent="0.2">
      <c r="A40" s="188"/>
      <c r="B40" s="26"/>
      <c r="C40" s="26"/>
      <c r="D40" s="26"/>
      <c r="E40" s="26"/>
      <c r="F40" s="26"/>
      <c r="G40" s="26"/>
      <c r="H40" s="26"/>
      <c r="I40" s="26"/>
      <c r="J40" s="26"/>
    </row>
    <row r="41" spans="1:11" s="36" customFormat="1" ht="12" x14ac:dyDescent="0.2">
      <c r="A41" s="188"/>
      <c r="B41" s="26"/>
      <c r="C41" s="26"/>
      <c r="D41" s="26"/>
      <c r="E41" s="26"/>
      <c r="F41" s="26"/>
      <c r="G41" s="26"/>
      <c r="H41" s="26"/>
      <c r="I41" s="26"/>
      <c r="J41" s="26"/>
    </row>
    <row r="42" spans="1:11" s="36" customFormat="1" ht="12" x14ac:dyDescent="0.2">
      <c r="A42" s="188"/>
      <c r="B42" s="26"/>
      <c r="C42" s="26"/>
      <c r="D42" s="26"/>
      <c r="E42" s="26"/>
      <c r="F42" s="26"/>
      <c r="G42" s="26"/>
      <c r="H42" s="26"/>
      <c r="I42" s="26"/>
      <c r="J42" s="26"/>
    </row>
    <row r="43" spans="1:11" s="36" customFormat="1" ht="12" x14ac:dyDescent="0.2">
      <c r="A43" s="188"/>
      <c r="B43" s="26"/>
      <c r="C43" s="26"/>
      <c r="D43" s="26"/>
      <c r="E43" s="26"/>
      <c r="F43" s="26"/>
      <c r="G43" s="26"/>
      <c r="H43" s="26"/>
      <c r="I43" s="26"/>
      <c r="J43" s="26"/>
    </row>
    <row r="44" spans="1:11" s="36" customFormat="1" ht="12" x14ac:dyDescent="0.2">
      <c r="A44" s="188"/>
      <c r="B44" s="26"/>
      <c r="C44" s="26"/>
      <c r="D44" s="26"/>
      <c r="E44" s="26"/>
      <c r="F44" s="26"/>
      <c r="G44" s="26"/>
      <c r="H44" s="26"/>
      <c r="I44" s="26"/>
      <c r="J44" s="26"/>
    </row>
    <row r="45" spans="1:11" s="36" customFormat="1" ht="12" x14ac:dyDescent="0.2">
      <c r="A45" s="188"/>
      <c r="B45" s="26"/>
      <c r="C45" s="26"/>
      <c r="D45" s="26"/>
      <c r="E45" s="26"/>
      <c r="F45" s="26"/>
      <c r="G45" s="26"/>
      <c r="H45" s="26"/>
      <c r="I45" s="26"/>
      <c r="J45" s="26"/>
    </row>
    <row r="46" spans="1:11" s="36" customFormat="1" ht="12" x14ac:dyDescent="0.2">
      <c r="A46" s="188"/>
      <c r="B46" s="26"/>
      <c r="C46" s="26"/>
      <c r="D46" s="26"/>
      <c r="E46" s="26"/>
      <c r="F46" s="26"/>
      <c r="G46" s="26"/>
      <c r="H46" s="26"/>
      <c r="I46" s="26"/>
      <c r="J46" s="26"/>
    </row>
    <row r="47" spans="1:11" s="36" customFormat="1" ht="12" x14ac:dyDescent="0.2">
      <c r="A47" s="188"/>
      <c r="B47" s="26"/>
      <c r="C47" s="26"/>
      <c r="D47" s="26"/>
      <c r="E47" s="26"/>
      <c r="F47" s="26"/>
      <c r="G47" s="26"/>
      <c r="H47" s="26"/>
      <c r="I47" s="26"/>
      <c r="J47" s="26"/>
    </row>
    <row r="48" spans="1:11" s="36" customFormat="1" ht="12" x14ac:dyDescent="0.2">
      <c r="A48" s="188"/>
      <c r="B48" s="26"/>
      <c r="C48" s="26"/>
      <c r="D48" s="26"/>
      <c r="E48" s="26"/>
      <c r="F48" s="26"/>
      <c r="G48" s="26"/>
      <c r="H48" s="26"/>
      <c r="I48" s="26"/>
      <c r="J48" s="26"/>
    </row>
    <row r="49" spans="1:10" s="36" customFormat="1" ht="12" x14ac:dyDescent="0.2">
      <c r="A49" s="188"/>
      <c r="B49" s="26"/>
      <c r="C49" s="26"/>
      <c r="D49" s="26"/>
      <c r="E49" s="26"/>
      <c r="F49" s="26"/>
      <c r="G49" s="26"/>
      <c r="H49" s="26"/>
      <c r="I49" s="26"/>
      <c r="J49" s="26"/>
    </row>
    <row r="50" spans="1:10" s="36" customFormat="1" ht="12" x14ac:dyDescent="0.2">
      <c r="A50" s="188"/>
      <c r="B50" s="26"/>
      <c r="C50" s="26"/>
      <c r="D50" s="26"/>
      <c r="E50" s="26"/>
      <c r="F50" s="26"/>
      <c r="G50" s="26"/>
      <c r="H50" s="26"/>
      <c r="I50" s="26"/>
      <c r="J50" s="26"/>
    </row>
    <row r="51" spans="1:10" s="36" customFormat="1" ht="12" x14ac:dyDescent="0.2">
      <c r="A51" s="188"/>
      <c r="B51" s="26"/>
      <c r="C51" s="26"/>
      <c r="D51" s="26"/>
      <c r="E51" s="26"/>
      <c r="F51" s="26"/>
      <c r="G51" s="26"/>
      <c r="H51" s="26"/>
      <c r="I51" s="26"/>
      <c r="J51" s="26"/>
    </row>
    <row r="52" spans="1:10" s="36" customFormat="1" ht="12" x14ac:dyDescent="0.2">
      <c r="A52" s="188"/>
      <c r="B52" s="26"/>
      <c r="C52" s="26"/>
      <c r="D52" s="26"/>
      <c r="E52" s="26"/>
      <c r="F52" s="26"/>
      <c r="G52" s="26"/>
      <c r="H52" s="26"/>
      <c r="I52" s="26"/>
      <c r="J52" s="26"/>
    </row>
    <row r="53" spans="1:10" s="36" customFormat="1" ht="12" x14ac:dyDescent="0.2">
      <c r="A53" s="188"/>
      <c r="B53" s="26"/>
      <c r="C53" s="26"/>
      <c r="D53" s="26"/>
      <c r="E53" s="26"/>
      <c r="F53" s="26"/>
      <c r="G53" s="26"/>
      <c r="H53" s="26"/>
      <c r="I53" s="26"/>
      <c r="J53" s="26"/>
    </row>
    <row r="54" spans="1:10" s="36" customFormat="1" ht="12" x14ac:dyDescent="0.2">
      <c r="A54" s="188"/>
      <c r="B54" s="26"/>
      <c r="C54" s="26"/>
      <c r="D54" s="26"/>
      <c r="E54" s="26"/>
      <c r="F54" s="26"/>
      <c r="G54" s="26"/>
      <c r="H54" s="26"/>
      <c r="I54" s="26"/>
      <c r="J54" s="26"/>
    </row>
    <row r="55" spans="1:10" s="36" customFormat="1" ht="12" x14ac:dyDescent="0.2">
      <c r="A55" s="188"/>
      <c r="B55" s="26"/>
      <c r="C55" s="26"/>
      <c r="D55" s="26"/>
      <c r="E55" s="26"/>
      <c r="F55" s="26"/>
      <c r="G55" s="26"/>
      <c r="H55" s="26"/>
      <c r="I55" s="26"/>
      <c r="J55" s="26"/>
    </row>
    <row r="56" spans="1:10" s="36" customFormat="1" ht="12" x14ac:dyDescent="0.2">
      <c r="A56" s="188"/>
      <c r="B56" s="26"/>
      <c r="C56" s="26"/>
      <c r="D56" s="26"/>
      <c r="E56" s="26"/>
      <c r="F56" s="26"/>
      <c r="G56" s="26"/>
      <c r="H56" s="26"/>
      <c r="I56" s="26"/>
      <c r="J56" s="26"/>
    </row>
    <row r="57" spans="1:10" s="36" customFormat="1" ht="12" x14ac:dyDescent="0.2">
      <c r="A57" s="188"/>
      <c r="B57" s="26"/>
      <c r="C57" s="26"/>
      <c r="D57" s="26"/>
      <c r="E57" s="26"/>
      <c r="F57" s="26"/>
      <c r="G57" s="26"/>
      <c r="H57" s="26"/>
      <c r="I57" s="26"/>
      <c r="J57" s="26"/>
    </row>
    <row r="58" spans="1:10" s="36" customFormat="1" ht="12" x14ac:dyDescent="0.2">
      <c r="A58" s="188"/>
      <c r="B58" s="26"/>
      <c r="C58" s="26"/>
      <c r="D58" s="26"/>
      <c r="E58" s="26"/>
      <c r="F58" s="26"/>
      <c r="G58" s="26"/>
      <c r="H58" s="26"/>
      <c r="I58" s="26"/>
      <c r="J58" s="26"/>
    </row>
    <row r="59" spans="1:10" s="36" customFormat="1" ht="12" x14ac:dyDescent="0.2">
      <c r="A59" s="188"/>
      <c r="B59" s="26"/>
      <c r="C59" s="26"/>
      <c r="D59" s="26"/>
      <c r="E59" s="26"/>
      <c r="F59" s="26"/>
      <c r="G59" s="26"/>
      <c r="H59" s="26"/>
      <c r="I59" s="26"/>
      <c r="J59" s="26"/>
    </row>
    <row r="60" spans="1:10" s="36" customFormat="1" ht="12" x14ac:dyDescent="0.2">
      <c r="A60" s="188"/>
      <c r="B60" s="26"/>
      <c r="C60" s="26"/>
      <c r="D60" s="26"/>
      <c r="E60" s="26"/>
      <c r="F60" s="26"/>
      <c r="G60" s="26"/>
      <c r="H60" s="26"/>
      <c r="I60" s="26"/>
      <c r="J60" s="26"/>
    </row>
    <row r="61" spans="1:10" s="36" customFormat="1" ht="12" x14ac:dyDescent="0.2">
      <c r="A61" s="188"/>
      <c r="B61" s="26"/>
      <c r="C61" s="26"/>
      <c r="D61" s="26"/>
      <c r="E61" s="26"/>
      <c r="F61" s="26"/>
      <c r="G61" s="26"/>
      <c r="H61" s="26"/>
      <c r="I61" s="26"/>
      <c r="J61" s="26"/>
    </row>
    <row r="62" spans="1:10" s="36" customFormat="1" ht="12" x14ac:dyDescent="0.2">
      <c r="A62" s="188"/>
      <c r="B62" s="26"/>
      <c r="C62" s="26"/>
      <c r="D62" s="26"/>
      <c r="E62" s="26"/>
      <c r="F62" s="26"/>
      <c r="G62" s="26"/>
      <c r="H62" s="26"/>
      <c r="I62" s="26"/>
      <c r="J62" s="26"/>
    </row>
    <row r="63" spans="1:10" s="36" customFormat="1" ht="12" x14ac:dyDescent="0.2">
      <c r="A63" s="188"/>
      <c r="B63" s="26"/>
      <c r="C63" s="26"/>
      <c r="D63" s="26"/>
      <c r="E63" s="26"/>
      <c r="F63" s="26"/>
      <c r="G63" s="26"/>
      <c r="H63" s="26"/>
      <c r="I63" s="26"/>
      <c r="J63" s="26"/>
    </row>
    <row r="64" spans="1:10" s="36" customFormat="1" ht="12" x14ac:dyDescent="0.2">
      <c r="A64" s="188"/>
      <c r="B64" s="26"/>
      <c r="C64" s="26"/>
      <c r="D64" s="26"/>
      <c r="E64" s="26"/>
      <c r="F64" s="26"/>
      <c r="G64" s="26"/>
      <c r="H64" s="26"/>
      <c r="I64" s="26"/>
      <c r="J64" s="26"/>
    </row>
    <row r="65" spans="1:10" s="36" customFormat="1" ht="12" x14ac:dyDescent="0.2">
      <c r="A65" s="188"/>
      <c r="B65" s="26"/>
      <c r="C65" s="26"/>
      <c r="D65" s="26"/>
      <c r="E65" s="26"/>
      <c r="F65" s="26"/>
      <c r="G65" s="26"/>
      <c r="H65" s="26"/>
      <c r="I65" s="26"/>
      <c r="J65" s="26"/>
    </row>
    <row r="66" spans="1:10" s="36" customFormat="1" ht="12" x14ac:dyDescent="0.2">
      <c r="A66" s="188"/>
      <c r="B66" s="26"/>
      <c r="C66" s="26"/>
      <c r="D66" s="26"/>
      <c r="E66" s="26"/>
      <c r="F66" s="26"/>
      <c r="G66" s="26"/>
      <c r="H66" s="26"/>
      <c r="I66" s="26"/>
      <c r="J66" s="26"/>
    </row>
    <row r="67" spans="1:10" s="36" customFormat="1" ht="12" x14ac:dyDescent="0.2">
      <c r="A67" s="188"/>
      <c r="B67" s="26"/>
      <c r="C67" s="26"/>
      <c r="D67" s="26"/>
      <c r="E67" s="26"/>
      <c r="F67" s="26"/>
      <c r="G67" s="26"/>
      <c r="H67" s="26"/>
      <c r="I67" s="26"/>
      <c r="J67" s="26"/>
    </row>
    <row r="68" spans="1:10" s="36" customFormat="1" ht="12" x14ac:dyDescent="0.2">
      <c r="A68" s="188"/>
      <c r="B68" s="26"/>
      <c r="C68" s="26"/>
      <c r="D68" s="26"/>
      <c r="E68" s="26"/>
      <c r="F68" s="26"/>
      <c r="G68" s="26"/>
      <c r="H68" s="26"/>
      <c r="I68" s="26"/>
      <c r="J68" s="26"/>
    </row>
    <row r="69" spans="1:10" s="36" customFormat="1" ht="12" x14ac:dyDescent="0.2">
      <c r="A69" s="188"/>
      <c r="B69" s="26"/>
      <c r="C69" s="26"/>
      <c r="D69" s="26"/>
      <c r="E69" s="26"/>
      <c r="F69" s="26"/>
      <c r="G69" s="26"/>
      <c r="H69" s="26"/>
      <c r="I69" s="26"/>
      <c r="J69" s="26"/>
    </row>
    <row r="70" spans="1:10" s="36" customFormat="1" ht="12" x14ac:dyDescent="0.2">
      <c r="A70" s="188"/>
      <c r="B70" s="26"/>
      <c r="C70" s="26"/>
      <c r="D70" s="26"/>
      <c r="E70" s="26"/>
      <c r="F70" s="26"/>
      <c r="G70" s="26"/>
      <c r="H70" s="26"/>
      <c r="I70" s="26"/>
      <c r="J70" s="26"/>
    </row>
    <row r="71" spans="1:10" s="36" customFormat="1" ht="12" x14ac:dyDescent="0.2">
      <c r="A71" s="188"/>
      <c r="B71" s="26"/>
      <c r="C71" s="26"/>
      <c r="D71" s="26"/>
      <c r="E71" s="26"/>
      <c r="F71" s="26"/>
      <c r="G71" s="26"/>
      <c r="H71" s="26"/>
      <c r="I71" s="26"/>
      <c r="J71" s="26"/>
    </row>
    <row r="72" spans="1:10" s="36" customFormat="1" ht="12" x14ac:dyDescent="0.2">
      <c r="A72" s="188"/>
      <c r="B72" s="26"/>
      <c r="C72" s="26"/>
      <c r="D72" s="26"/>
      <c r="E72" s="26"/>
      <c r="F72" s="26"/>
      <c r="G72" s="26"/>
      <c r="H72" s="26"/>
      <c r="I72" s="26"/>
      <c r="J72" s="26"/>
    </row>
    <row r="73" spans="1:10" s="36" customFormat="1" ht="12" x14ac:dyDescent="0.2">
      <c r="A73" s="188"/>
      <c r="B73" s="26"/>
      <c r="C73" s="26"/>
      <c r="D73" s="26"/>
      <c r="E73" s="26"/>
      <c r="F73" s="26"/>
      <c r="G73" s="26"/>
      <c r="H73" s="26"/>
      <c r="I73" s="26"/>
      <c r="J73" s="26"/>
    </row>
    <row r="74" spans="1:10" s="36" customFormat="1" ht="12" x14ac:dyDescent="0.2">
      <c r="A74" s="188"/>
      <c r="B74" s="26"/>
      <c r="C74" s="26"/>
      <c r="D74" s="26"/>
      <c r="E74" s="26"/>
      <c r="F74" s="26"/>
      <c r="G74" s="26"/>
      <c r="H74" s="26"/>
      <c r="I74" s="26"/>
      <c r="J74" s="26"/>
    </row>
    <row r="75" spans="1:10" s="36" customFormat="1" ht="12" x14ac:dyDescent="0.2">
      <c r="A75" s="188"/>
      <c r="B75" s="26"/>
      <c r="C75" s="26"/>
      <c r="D75" s="26"/>
      <c r="E75" s="26"/>
      <c r="F75" s="26"/>
      <c r="G75" s="26"/>
      <c r="H75" s="26"/>
      <c r="I75" s="26"/>
      <c r="J75" s="26"/>
    </row>
    <row r="76" spans="1:10" s="36" customFormat="1" ht="12" x14ac:dyDescent="0.2">
      <c r="A76" s="188"/>
      <c r="B76" s="26"/>
      <c r="C76" s="26"/>
      <c r="D76" s="26"/>
      <c r="E76" s="26"/>
      <c r="F76" s="26"/>
      <c r="G76" s="26"/>
      <c r="H76" s="26"/>
      <c r="I76" s="26"/>
      <c r="J76" s="26"/>
    </row>
    <row r="77" spans="1:10" s="36" customFormat="1" ht="12" x14ac:dyDescent="0.2">
      <c r="A77" s="188"/>
      <c r="B77" s="26"/>
      <c r="C77" s="26"/>
      <c r="D77" s="26"/>
      <c r="E77" s="26"/>
      <c r="F77" s="26"/>
      <c r="G77" s="26"/>
      <c r="H77" s="26"/>
      <c r="I77" s="26"/>
      <c r="J77" s="26"/>
    </row>
    <row r="78" spans="1:10" s="36" customFormat="1" ht="12" x14ac:dyDescent="0.2">
      <c r="A78" s="188"/>
      <c r="B78" s="26"/>
      <c r="C78" s="26"/>
      <c r="D78" s="26"/>
      <c r="E78" s="26"/>
      <c r="F78" s="26"/>
      <c r="G78" s="26"/>
      <c r="H78" s="26"/>
      <c r="I78" s="26"/>
      <c r="J78" s="26"/>
    </row>
    <row r="79" spans="1:10" s="36" customFormat="1" ht="12" x14ac:dyDescent="0.2">
      <c r="A79" s="188"/>
      <c r="B79" s="26"/>
      <c r="C79" s="26"/>
      <c r="D79" s="26"/>
      <c r="E79" s="26"/>
      <c r="F79" s="26"/>
      <c r="G79" s="26"/>
      <c r="H79" s="26"/>
      <c r="I79" s="26"/>
      <c r="J79" s="26"/>
    </row>
    <row r="80" spans="1:10" s="36" customFormat="1" ht="12" x14ac:dyDescent="0.2">
      <c r="A80" s="188"/>
      <c r="B80" s="26"/>
      <c r="C80" s="26"/>
      <c r="D80" s="26"/>
      <c r="E80" s="26"/>
      <c r="F80" s="26"/>
      <c r="G80" s="26"/>
      <c r="H80" s="26"/>
      <c r="I80" s="26"/>
      <c r="J80" s="26"/>
    </row>
    <row r="81" spans="1:10" s="36" customFormat="1" ht="12" x14ac:dyDescent="0.2">
      <c r="A81" s="188"/>
      <c r="B81" s="26"/>
      <c r="C81" s="26"/>
      <c r="D81" s="26"/>
      <c r="E81" s="26"/>
      <c r="F81" s="26"/>
      <c r="G81" s="26"/>
      <c r="H81" s="26"/>
      <c r="I81" s="26"/>
      <c r="J81" s="26"/>
    </row>
    <row r="82" spans="1:10" s="36" customFormat="1" ht="12" x14ac:dyDescent="0.2">
      <c r="A82" s="188"/>
      <c r="B82" s="26"/>
      <c r="C82" s="26"/>
      <c r="D82" s="26"/>
      <c r="E82" s="26"/>
      <c r="F82" s="26"/>
      <c r="G82" s="26"/>
      <c r="H82" s="26"/>
      <c r="I82" s="26"/>
      <c r="J82" s="26"/>
    </row>
  </sheetData>
  <customSheetViews>
    <customSheetView guid="{B7440494-8EA9-4463-9947-E5D20E74049D}" showGridLines="0">
      <pane xSplit="1" ySplit="10" topLeftCell="AE11" activePane="bottomRight" state="frozen"/>
      <selection pane="bottomRight" activeCell="AF4" sqref="AF4:AR4"/>
      <colBreaks count="4" manualBreakCount="4">
        <brk id="9" max="15" man="1"/>
        <brk id="17" max="15" man="1"/>
        <brk id="25" max="15" man="1"/>
        <brk id="33" max="15" man="1"/>
      </colBreaks>
      <pageMargins left="0" right="0" top="0.78740157480314965" bottom="0" header="0" footer="0"/>
      <printOptions horizontalCentered="1"/>
      <pageSetup paperSize="9" scale="94" orientation="landscape" r:id="rId1"/>
      <headerFooter alignWithMargins="0">
        <oddHeader>&amp;R&amp;P/&amp;N</oddHeader>
      </headerFooter>
    </customSheetView>
    <customSheetView guid="{6D89F6EF-F5AD-478F-979A-5AF1BC78EF91}" showGridLines="0">
      <pane xSplit="2" ySplit="9" topLeftCell="C10" activePane="bottomRight" state="frozen"/>
      <selection pane="bottomRight" activeCell="C10" sqref="C10"/>
      <colBreaks count="3" manualBreakCount="3">
        <brk id="9" max="16" man="1"/>
        <brk id="25" max="16" man="1"/>
        <brk id="41" max="16" man="1"/>
      </colBreaks>
      <pageMargins left="0" right="0" top="1.1811023622047245" bottom="0" header="0" footer="0"/>
      <printOptions horizontalCentered="1"/>
      <pageSetup paperSize="9" orientation="landscape" r:id="rId2"/>
      <headerFooter alignWithMargins="0"/>
    </customSheetView>
    <customSheetView guid="{A9134056-6B1C-4A42-AFE9-9712EF3EF3D4}" showPageBreaks="1" showGridLines="0" printArea="1">
      <pane xSplit="2" ySplit="9" topLeftCell="C10" activePane="bottomRight" state="frozen"/>
      <selection pane="bottomRight" activeCell="C10" sqref="C10"/>
      <colBreaks count="4" manualBreakCount="4">
        <brk id="9" max="16" man="1"/>
        <brk id="19" max="16" man="1"/>
        <brk id="25" max="16" man="1"/>
        <brk id="41" max="16" man="1"/>
      </colBreaks>
      <pageMargins left="0" right="0" top="1.1811023622047245" bottom="0" header="0" footer="0"/>
      <printOptions horizontalCentered="1"/>
      <pageSetup paperSize="9" orientation="landscape" r:id="rId3"/>
      <headerFooter alignWithMargins="0"/>
    </customSheetView>
  </customSheetViews>
  <hyperlinks>
    <hyperlink ref="R6" location="Índex!E9" display="Índex"/>
  </hyperlinks>
  <printOptions horizontalCentered="1" gridLinesSet="0"/>
  <pageMargins left="0" right="0" top="0.39370078740157483" bottom="0" header="0" footer="0"/>
  <pageSetup paperSize="9" scale="80" orientation="landscape" r:id="rId4"/>
  <headerFooter alignWithMargins="0">
    <oddHeader>&amp;R&amp;P/&amp;N</oddHeader>
  </headerFooter>
  <colBreaks count="1" manualBreakCount="1">
    <brk id="11" max="16" man="1"/>
  </colBreaks>
  <drawing r:id="rId5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98"/>
  <sheetViews>
    <sheetView showGridLines="0" zoomScaleNormal="100" workbookViewId="0">
      <pane xSplit="1" ySplit="9" topLeftCell="AK10" activePane="bottomRight" state="frozen"/>
      <selection activeCell="E9" sqref="E9"/>
      <selection pane="topRight" activeCell="E9" sqref="E9"/>
      <selection pane="bottomLeft" activeCell="E9" sqref="E9"/>
      <selection pane="bottomRight" activeCell="AS6" sqref="AS6"/>
    </sheetView>
  </sheetViews>
  <sheetFormatPr defaultColWidth="12.5703125" defaultRowHeight="12.75" x14ac:dyDescent="0.2"/>
  <cols>
    <col min="1" max="1" width="59.85546875" style="653" bestFit="1" customWidth="1"/>
    <col min="2" max="2" width="10" style="653" bestFit="1" customWidth="1"/>
    <col min="3" max="37" width="10.7109375" style="653" customWidth="1"/>
    <col min="38" max="39" width="10.7109375" style="646" customWidth="1"/>
    <col min="40" max="45" width="12.7109375" style="646" bestFit="1" customWidth="1"/>
    <col min="46" max="253" width="12.5703125" style="646"/>
    <col min="254" max="254" width="32.85546875" style="646" customWidth="1"/>
    <col min="255" max="290" width="0" style="646" hidden="1" customWidth="1"/>
    <col min="291" max="292" width="10.7109375" style="646" customWidth="1"/>
    <col min="293" max="509" width="12.5703125" style="646"/>
    <col min="510" max="510" width="32.85546875" style="646" customWidth="1"/>
    <col min="511" max="546" width="0" style="646" hidden="1" customWidth="1"/>
    <col min="547" max="548" width="10.7109375" style="646" customWidth="1"/>
    <col min="549" max="765" width="12.5703125" style="646"/>
    <col min="766" max="766" width="32.85546875" style="646" customWidth="1"/>
    <col min="767" max="802" width="0" style="646" hidden="1" customWidth="1"/>
    <col min="803" max="804" width="10.7109375" style="646" customWidth="1"/>
    <col min="805" max="1021" width="12.5703125" style="646"/>
    <col min="1022" max="1022" width="32.85546875" style="646" customWidth="1"/>
    <col min="1023" max="1058" width="0" style="646" hidden="1" customWidth="1"/>
    <col min="1059" max="1060" width="10.7109375" style="646" customWidth="1"/>
    <col min="1061" max="1277" width="12.5703125" style="646"/>
    <col min="1278" max="1278" width="32.85546875" style="646" customWidth="1"/>
    <col min="1279" max="1314" width="0" style="646" hidden="1" customWidth="1"/>
    <col min="1315" max="1316" width="10.7109375" style="646" customWidth="1"/>
    <col min="1317" max="1533" width="12.5703125" style="646"/>
    <col min="1534" max="1534" width="32.85546875" style="646" customWidth="1"/>
    <col min="1535" max="1570" width="0" style="646" hidden="1" customWidth="1"/>
    <col min="1571" max="1572" width="10.7109375" style="646" customWidth="1"/>
    <col min="1573" max="1789" width="12.5703125" style="646"/>
    <col min="1790" max="1790" width="32.85546875" style="646" customWidth="1"/>
    <col min="1791" max="1826" width="0" style="646" hidden="1" customWidth="1"/>
    <col min="1827" max="1828" width="10.7109375" style="646" customWidth="1"/>
    <col min="1829" max="2045" width="12.5703125" style="646"/>
    <col min="2046" max="2046" width="32.85546875" style="646" customWidth="1"/>
    <col min="2047" max="2082" width="0" style="646" hidden="1" customWidth="1"/>
    <col min="2083" max="2084" width="10.7109375" style="646" customWidth="1"/>
    <col min="2085" max="2301" width="12.5703125" style="646"/>
    <col min="2302" max="2302" width="32.85546875" style="646" customWidth="1"/>
    <col min="2303" max="2338" width="0" style="646" hidden="1" customWidth="1"/>
    <col min="2339" max="2340" width="10.7109375" style="646" customWidth="1"/>
    <col min="2341" max="2557" width="12.5703125" style="646"/>
    <col min="2558" max="2558" width="32.85546875" style="646" customWidth="1"/>
    <col min="2559" max="2594" width="0" style="646" hidden="1" customWidth="1"/>
    <col min="2595" max="2596" width="10.7109375" style="646" customWidth="1"/>
    <col min="2597" max="2813" width="12.5703125" style="646"/>
    <col min="2814" max="2814" width="32.85546875" style="646" customWidth="1"/>
    <col min="2815" max="2850" width="0" style="646" hidden="1" customWidth="1"/>
    <col min="2851" max="2852" width="10.7109375" style="646" customWidth="1"/>
    <col min="2853" max="3069" width="12.5703125" style="646"/>
    <col min="3070" max="3070" width="32.85546875" style="646" customWidth="1"/>
    <col min="3071" max="3106" width="0" style="646" hidden="1" customWidth="1"/>
    <col min="3107" max="3108" width="10.7109375" style="646" customWidth="1"/>
    <col min="3109" max="3325" width="12.5703125" style="646"/>
    <col min="3326" max="3326" width="32.85546875" style="646" customWidth="1"/>
    <col min="3327" max="3362" width="0" style="646" hidden="1" customWidth="1"/>
    <col min="3363" max="3364" width="10.7109375" style="646" customWidth="1"/>
    <col min="3365" max="3581" width="12.5703125" style="646"/>
    <col min="3582" max="3582" width="32.85546875" style="646" customWidth="1"/>
    <col min="3583" max="3618" width="0" style="646" hidden="1" customWidth="1"/>
    <col min="3619" max="3620" width="10.7109375" style="646" customWidth="1"/>
    <col min="3621" max="3837" width="12.5703125" style="646"/>
    <col min="3838" max="3838" width="32.85546875" style="646" customWidth="1"/>
    <col min="3839" max="3874" width="0" style="646" hidden="1" customWidth="1"/>
    <col min="3875" max="3876" width="10.7109375" style="646" customWidth="1"/>
    <col min="3877" max="4093" width="12.5703125" style="646"/>
    <col min="4094" max="4094" width="32.85546875" style="646" customWidth="1"/>
    <col min="4095" max="4130" width="0" style="646" hidden="1" customWidth="1"/>
    <col min="4131" max="4132" width="10.7109375" style="646" customWidth="1"/>
    <col min="4133" max="4349" width="12.5703125" style="646"/>
    <col min="4350" max="4350" width="32.85546875" style="646" customWidth="1"/>
    <col min="4351" max="4386" width="0" style="646" hidden="1" customWidth="1"/>
    <col min="4387" max="4388" width="10.7109375" style="646" customWidth="1"/>
    <col min="4389" max="4605" width="12.5703125" style="646"/>
    <col min="4606" max="4606" width="32.85546875" style="646" customWidth="1"/>
    <col min="4607" max="4642" width="0" style="646" hidden="1" customWidth="1"/>
    <col min="4643" max="4644" width="10.7109375" style="646" customWidth="1"/>
    <col min="4645" max="4861" width="12.5703125" style="646"/>
    <col min="4862" max="4862" width="32.85546875" style="646" customWidth="1"/>
    <col min="4863" max="4898" width="0" style="646" hidden="1" customWidth="1"/>
    <col min="4899" max="4900" width="10.7109375" style="646" customWidth="1"/>
    <col min="4901" max="5117" width="12.5703125" style="646"/>
    <col min="5118" max="5118" width="32.85546875" style="646" customWidth="1"/>
    <col min="5119" max="5154" width="0" style="646" hidden="1" customWidth="1"/>
    <col min="5155" max="5156" width="10.7109375" style="646" customWidth="1"/>
    <col min="5157" max="5373" width="12.5703125" style="646"/>
    <col min="5374" max="5374" width="32.85546875" style="646" customWidth="1"/>
    <col min="5375" max="5410" width="0" style="646" hidden="1" customWidth="1"/>
    <col min="5411" max="5412" width="10.7109375" style="646" customWidth="1"/>
    <col min="5413" max="5629" width="12.5703125" style="646"/>
    <col min="5630" max="5630" width="32.85546875" style="646" customWidth="1"/>
    <col min="5631" max="5666" width="0" style="646" hidden="1" customWidth="1"/>
    <col min="5667" max="5668" width="10.7109375" style="646" customWidth="1"/>
    <col min="5669" max="5885" width="12.5703125" style="646"/>
    <col min="5886" max="5886" width="32.85546875" style="646" customWidth="1"/>
    <col min="5887" max="5922" width="0" style="646" hidden="1" customWidth="1"/>
    <col min="5923" max="5924" width="10.7109375" style="646" customWidth="1"/>
    <col min="5925" max="6141" width="12.5703125" style="646"/>
    <col min="6142" max="6142" width="32.85546875" style="646" customWidth="1"/>
    <col min="6143" max="6178" width="0" style="646" hidden="1" customWidth="1"/>
    <col min="6179" max="6180" width="10.7109375" style="646" customWidth="1"/>
    <col min="6181" max="6397" width="12.5703125" style="646"/>
    <col min="6398" max="6398" width="32.85546875" style="646" customWidth="1"/>
    <col min="6399" max="6434" width="0" style="646" hidden="1" customWidth="1"/>
    <col min="6435" max="6436" width="10.7109375" style="646" customWidth="1"/>
    <col min="6437" max="6653" width="12.5703125" style="646"/>
    <col min="6654" max="6654" width="32.85546875" style="646" customWidth="1"/>
    <col min="6655" max="6690" width="0" style="646" hidden="1" customWidth="1"/>
    <col min="6691" max="6692" width="10.7109375" style="646" customWidth="1"/>
    <col min="6693" max="6909" width="12.5703125" style="646"/>
    <col min="6910" max="6910" width="32.85546875" style="646" customWidth="1"/>
    <col min="6911" max="6946" width="0" style="646" hidden="1" customWidth="1"/>
    <col min="6947" max="6948" width="10.7109375" style="646" customWidth="1"/>
    <col min="6949" max="7165" width="12.5703125" style="646"/>
    <col min="7166" max="7166" width="32.85546875" style="646" customWidth="1"/>
    <col min="7167" max="7202" width="0" style="646" hidden="1" customWidth="1"/>
    <col min="7203" max="7204" width="10.7109375" style="646" customWidth="1"/>
    <col min="7205" max="7421" width="12.5703125" style="646"/>
    <col min="7422" max="7422" width="32.85546875" style="646" customWidth="1"/>
    <col min="7423" max="7458" width="0" style="646" hidden="1" customWidth="1"/>
    <col min="7459" max="7460" width="10.7109375" style="646" customWidth="1"/>
    <col min="7461" max="7677" width="12.5703125" style="646"/>
    <col min="7678" max="7678" width="32.85546875" style="646" customWidth="1"/>
    <col min="7679" max="7714" width="0" style="646" hidden="1" customWidth="1"/>
    <col min="7715" max="7716" width="10.7109375" style="646" customWidth="1"/>
    <col min="7717" max="7933" width="12.5703125" style="646"/>
    <col min="7934" max="7934" width="32.85546875" style="646" customWidth="1"/>
    <col min="7935" max="7970" width="0" style="646" hidden="1" customWidth="1"/>
    <col min="7971" max="7972" width="10.7109375" style="646" customWidth="1"/>
    <col min="7973" max="8189" width="12.5703125" style="646"/>
    <col min="8190" max="8190" width="32.85546875" style="646" customWidth="1"/>
    <col min="8191" max="8226" width="0" style="646" hidden="1" customWidth="1"/>
    <col min="8227" max="8228" width="10.7109375" style="646" customWidth="1"/>
    <col min="8229" max="8445" width="12.5703125" style="646"/>
    <col min="8446" max="8446" width="32.85546875" style="646" customWidth="1"/>
    <col min="8447" max="8482" width="0" style="646" hidden="1" customWidth="1"/>
    <col min="8483" max="8484" width="10.7109375" style="646" customWidth="1"/>
    <col min="8485" max="8701" width="12.5703125" style="646"/>
    <col min="8702" max="8702" width="32.85546875" style="646" customWidth="1"/>
    <col min="8703" max="8738" width="0" style="646" hidden="1" customWidth="1"/>
    <col min="8739" max="8740" width="10.7109375" style="646" customWidth="1"/>
    <col min="8741" max="8957" width="12.5703125" style="646"/>
    <col min="8958" max="8958" width="32.85546875" style="646" customWidth="1"/>
    <col min="8959" max="8994" width="0" style="646" hidden="1" customWidth="1"/>
    <col min="8995" max="8996" width="10.7109375" style="646" customWidth="1"/>
    <col min="8997" max="9213" width="12.5703125" style="646"/>
    <col min="9214" max="9214" width="32.85546875" style="646" customWidth="1"/>
    <col min="9215" max="9250" width="0" style="646" hidden="1" customWidth="1"/>
    <col min="9251" max="9252" width="10.7109375" style="646" customWidth="1"/>
    <col min="9253" max="9469" width="12.5703125" style="646"/>
    <col min="9470" max="9470" width="32.85546875" style="646" customWidth="1"/>
    <col min="9471" max="9506" width="0" style="646" hidden="1" customWidth="1"/>
    <col min="9507" max="9508" width="10.7109375" style="646" customWidth="1"/>
    <col min="9509" max="9725" width="12.5703125" style="646"/>
    <col min="9726" max="9726" width="32.85546875" style="646" customWidth="1"/>
    <col min="9727" max="9762" width="0" style="646" hidden="1" customWidth="1"/>
    <col min="9763" max="9764" width="10.7109375" style="646" customWidth="1"/>
    <col min="9765" max="9981" width="12.5703125" style="646"/>
    <col min="9982" max="9982" width="32.85546875" style="646" customWidth="1"/>
    <col min="9983" max="10018" width="0" style="646" hidden="1" customWidth="1"/>
    <col min="10019" max="10020" width="10.7109375" style="646" customWidth="1"/>
    <col min="10021" max="10237" width="12.5703125" style="646"/>
    <col min="10238" max="10238" width="32.85546875" style="646" customWidth="1"/>
    <col min="10239" max="10274" width="0" style="646" hidden="1" customWidth="1"/>
    <col min="10275" max="10276" width="10.7109375" style="646" customWidth="1"/>
    <col min="10277" max="10493" width="12.5703125" style="646"/>
    <col min="10494" max="10494" width="32.85546875" style="646" customWidth="1"/>
    <col min="10495" max="10530" width="0" style="646" hidden="1" customWidth="1"/>
    <col min="10531" max="10532" width="10.7109375" style="646" customWidth="1"/>
    <col min="10533" max="10749" width="12.5703125" style="646"/>
    <col min="10750" max="10750" width="32.85546875" style="646" customWidth="1"/>
    <col min="10751" max="10786" width="0" style="646" hidden="1" customWidth="1"/>
    <col min="10787" max="10788" width="10.7109375" style="646" customWidth="1"/>
    <col min="10789" max="11005" width="12.5703125" style="646"/>
    <col min="11006" max="11006" width="32.85546875" style="646" customWidth="1"/>
    <col min="11007" max="11042" width="0" style="646" hidden="1" customWidth="1"/>
    <col min="11043" max="11044" width="10.7109375" style="646" customWidth="1"/>
    <col min="11045" max="11261" width="12.5703125" style="646"/>
    <col min="11262" max="11262" width="32.85546875" style="646" customWidth="1"/>
    <col min="11263" max="11298" width="0" style="646" hidden="1" customWidth="1"/>
    <col min="11299" max="11300" width="10.7109375" style="646" customWidth="1"/>
    <col min="11301" max="11517" width="12.5703125" style="646"/>
    <col min="11518" max="11518" width="32.85546875" style="646" customWidth="1"/>
    <col min="11519" max="11554" width="0" style="646" hidden="1" customWidth="1"/>
    <col min="11555" max="11556" width="10.7109375" style="646" customWidth="1"/>
    <col min="11557" max="11773" width="12.5703125" style="646"/>
    <col min="11774" max="11774" width="32.85546875" style="646" customWidth="1"/>
    <col min="11775" max="11810" width="0" style="646" hidden="1" customWidth="1"/>
    <col min="11811" max="11812" width="10.7109375" style="646" customWidth="1"/>
    <col min="11813" max="12029" width="12.5703125" style="646"/>
    <col min="12030" max="12030" width="32.85546875" style="646" customWidth="1"/>
    <col min="12031" max="12066" width="0" style="646" hidden="1" customWidth="1"/>
    <col min="12067" max="12068" width="10.7109375" style="646" customWidth="1"/>
    <col min="12069" max="12285" width="12.5703125" style="646"/>
    <col min="12286" max="12286" width="32.85546875" style="646" customWidth="1"/>
    <col min="12287" max="12322" width="0" style="646" hidden="1" customWidth="1"/>
    <col min="12323" max="12324" width="10.7109375" style="646" customWidth="1"/>
    <col min="12325" max="12541" width="12.5703125" style="646"/>
    <col min="12542" max="12542" width="32.85546875" style="646" customWidth="1"/>
    <col min="12543" max="12578" width="0" style="646" hidden="1" customWidth="1"/>
    <col min="12579" max="12580" width="10.7109375" style="646" customWidth="1"/>
    <col min="12581" max="12797" width="12.5703125" style="646"/>
    <col min="12798" max="12798" width="32.85546875" style="646" customWidth="1"/>
    <col min="12799" max="12834" width="0" style="646" hidden="1" customWidth="1"/>
    <col min="12835" max="12836" width="10.7109375" style="646" customWidth="1"/>
    <col min="12837" max="13053" width="12.5703125" style="646"/>
    <col min="13054" max="13054" width="32.85546875" style="646" customWidth="1"/>
    <col min="13055" max="13090" width="0" style="646" hidden="1" customWidth="1"/>
    <col min="13091" max="13092" width="10.7109375" style="646" customWidth="1"/>
    <col min="13093" max="13309" width="12.5703125" style="646"/>
    <col min="13310" max="13310" width="32.85546875" style="646" customWidth="1"/>
    <col min="13311" max="13346" width="0" style="646" hidden="1" customWidth="1"/>
    <col min="13347" max="13348" width="10.7109375" style="646" customWidth="1"/>
    <col min="13349" max="13565" width="12.5703125" style="646"/>
    <col min="13566" max="13566" width="32.85546875" style="646" customWidth="1"/>
    <col min="13567" max="13602" width="0" style="646" hidden="1" customWidth="1"/>
    <col min="13603" max="13604" width="10.7109375" style="646" customWidth="1"/>
    <col min="13605" max="13821" width="12.5703125" style="646"/>
    <col min="13822" max="13822" width="32.85546875" style="646" customWidth="1"/>
    <col min="13823" max="13858" width="0" style="646" hidden="1" customWidth="1"/>
    <col min="13859" max="13860" width="10.7109375" style="646" customWidth="1"/>
    <col min="13861" max="14077" width="12.5703125" style="646"/>
    <col min="14078" max="14078" width="32.85546875" style="646" customWidth="1"/>
    <col min="14079" max="14114" width="0" style="646" hidden="1" customWidth="1"/>
    <col min="14115" max="14116" width="10.7109375" style="646" customWidth="1"/>
    <col min="14117" max="14333" width="12.5703125" style="646"/>
    <col min="14334" max="14334" width="32.85546875" style="646" customWidth="1"/>
    <col min="14335" max="14370" width="0" style="646" hidden="1" customWidth="1"/>
    <col min="14371" max="14372" width="10.7109375" style="646" customWidth="1"/>
    <col min="14373" max="14589" width="12.5703125" style="646"/>
    <col min="14590" max="14590" width="32.85546875" style="646" customWidth="1"/>
    <col min="14591" max="14626" width="0" style="646" hidden="1" customWidth="1"/>
    <col min="14627" max="14628" width="10.7109375" style="646" customWidth="1"/>
    <col min="14629" max="14845" width="12.5703125" style="646"/>
    <col min="14846" max="14846" width="32.85546875" style="646" customWidth="1"/>
    <col min="14847" max="14882" width="0" style="646" hidden="1" customWidth="1"/>
    <col min="14883" max="14884" width="10.7109375" style="646" customWidth="1"/>
    <col min="14885" max="15101" width="12.5703125" style="646"/>
    <col min="15102" max="15102" width="32.85546875" style="646" customWidth="1"/>
    <col min="15103" max="15138" width="0" style="646" hidden="1" customWidth="1"/>
    <col min="15139" max="15140" width="10.7109375" style="646" customWidth="1"/>
    <col min="15141" max="15357" width="12.5703125" style="646"/>
    <col min="15358" max="15358" width="32.85546875" style="646" customWidth="1"/>
    <col min="15359" max="15394" width="0" style="646" hidden="1" customWidth="1"/>
    <col min="15395" max="15396" width="10.7109375" style="646" customWidth="1"/>
    <col min="15397" max="15613" width="12.5703125" style="646"/>
    <col min="15614" max="15614" width="32.85546875" style="646" customWidth="1"/>
    <col min="15615" max="15650" width="0" style="646" hidden="1" customWidth="1"/>
    <col min="15651" max="15652" width="10.7109375" style="646" customWidth="1"/>
    <col min="15653" max="15869" width="12.5703125" style="646"/>
    <col min="15870" max="15870" width="32.85546875" style="646" customWidth="1"/>
    <col min="15871" max="15906" width="0" style="646" hidden="1" customWidth="1"/>
    <col min="15907" max="15908" width="10.7109375" style="646" customWidth="1"/>
    <col min="15909" max="16125" width="12.5703125" style="646"/>
    <col min="16126" max="16126" width="32.85546875" style="646" customWidth="1"/>
    <col min="16127" max="16162" width="0" style="646" hidden="1" customWidth="1"/>
    <col min="16163" max="16164" width="10.7109375" style="646" customWidth="1"/>
    <col min="16165" max="16384" width="12.5703125" style="646"/>
  </cols>
  <sheetData>
    <row r="1" spans="1:117" ht="15" customHeight="1" x14ac:dyDescent="0.2">
      <c r="A1" s="62"/>
      <c r="B1" s="667"/>
      <c r="C1" s="667"/>
      <c r="D1" s="667"/>
      <c r="E1" s="667"/>
      <c r="F1" s="667"/>
      <c r="G1" s="667"/>
      <c r="H1" s="667"/>
      <c r="I1" s="667"/>
      <c r="J1" s="667"/>
      <c r="K1" s="667"/>
      <c r="L1" s="667"/>
      <c r="M1" s="667"/>
      <c r="N1" s="667"/>
      <c r="O1" s="667"/>
      <c r="P1" s="667"/>
      <c r="Q1" s="667"/>
      <c r="R1" s="667"/>
      <c r="S1" s="667"/>
      <c r="T1" s="667"/>
      <c r="U1" s="667"/>
      <c r="V1" s="667"/>
      <c r="W1" s="667"/>
      <c r="X1" s="667"/>
      <c r="Y1" s="667"/>
      <c r="Z1" s="667"/>
      <c r="AA1" s="667"/>
      <c r="AB1" s="667"/>
      <c r="AC1" s="667"/>
      <c r="AD1" s="667"/>
      <c r="AE1" s="667"/>
      <c r="AF1" s="668"/>
      <c r="AG1" s="668"/>
      <c r="AH1" s="668"/>
      <c r="AI1" s="668"/>
      <c r="AJ1" s="668"/>
      <c r="AK1" s="668"/>
    </row>
    <row r="2" spans="1:117" ht="15" customHeight="1" x14ac:dyDescent="0.2">
      <c r="A2" s="669"/>
      <c r="B2" s="667"/>
      <c r="C2" s="667"/>
      <c r="D2" s="667"/>
      <c r="E2" s="667"/>
      <c r="F2" s="667"/>
      <c r="G2" s="667"/>
      <c r="H2" s="667"/>
      <c r="I2" s="667"/>
      <c r="J2" s="667"/>
      <c r="K2" s="667"/>
      <c r="L2" s="667"/>
      <c r="M2" s="667"/>
      <c r="N2" s="667"/>
      <c r="O2" s="667"/>
      <c r="P2" s="667"/>
      <c r="Q2" s="667"/>
      <c r="R2" s="667"/>
      <c r="S2" s="667"/>
      <c r="T2" s="667"/>
      <c r="U2" s="667"/>
      <c r="V2" s="667"/>
      <c r="W2" s="667"/>
      <c r="X2" s="667"/>
      <c r="Y2" s="667"/>
      <c r="Z2" s="667"/>
      <c r="AA2" s="667"/>
      <c r="AB2" s="667"/>
      <c r="AC2" s="667"/>
      <c r="AD2" s="667"/>
      <c r="AE2" s="667"/>
      <c r="AF2" s="668"/>
      <c r="AG2" s="668"/>
      <c r="AH2" s="668"/>
      <c r="AI2" s="668"/>
      <c r="AJ2" s="668"/>
      <c r="AK2" s="668"/>
    </row>
    <row r="3" spans="1:117" ht="15" customHeight="1" x14ac:dyDescent="0.25">
      <c r="A3" s="670"/>
      <c r="B3" s="668"/>
      <c r="C3" s="668"/>
      <c r="D3" s="668"/>
      <c r="E3" s="668"/>
      <c r="F3" s="668"/>
      <c r="G3" s="668"/>
      <c r="H3" s="668"/>
      <c r="I3" s="668"/>
      <c r="J3" s="668"/>
      <c r="K3" s="668"/>
      <c r="L3" s="668"/>
      <c r="M3" s="668"/>
      <c r="N3" s="668"/>
      <c r="O3" s="668"/>
      <c r="P3" s="668"/>
      <c r="Q3" s="668"/>
      <c r="R3" s="668"/>
      <c r="S3" s="668"/>
      <c r="T3" s="668"/>
      <c r="U3" s="668"/>
      <c r="V3" s="668"/>
      <c r="W3" s="668"/>
      <c r="X3" s="668"/>
      <c r="Y3" s="668"/>
      <c r="Z3" s="668"/>
      <c r="AA3" s="668"/>
      <c r="AB3" s="668"/>
      <c r="AC3" s="668"/>
      <c r="AD3" s="668"/>
      <c r="AE3" s="668"/>
      <c r="AF3" s="668"/>
      <c r="AG3" s="668"/>
      <c r="AH3" s="668"/>
      <c r="AI3" s="668"/>
      <c r="AJ3" s="668"/>
      <c r="AK3" s="668"/>
    </row>
    <row r="4" spans="1:117" ht="15" customHeight="1" x14ac:dyDescent="0.25">
      <c r="A4" s="671" t="s">
        <v>1</v>
      </c>
      <c r="B4" s="672"/>
      <c r="C4" s="672"/>
      <c r="D4" s="672"/>
      <c r="E4" s="672"/>
      <c r="F4" s="672"/>
      <c r="G4" s="672"/>
      <c r="H4" s="672"/>
      <c r="I4" s="672"/>
      <c r="J4" s="672"/>
      <c r="K4" s="672"/>
      <c r="L4" s="672"/>
      <c r="M4" s="672"/>
      <c r="N4" s="672"/>
      <c r="O4" s="672"/>
      <c r="P4" s="672"/>
      <c r="Q4" s="672"/>
      <c r="R4" s="672"/>
      <c r="S4" s="672"/>
      <c r="T4" s="672"/>
      <c r="U4" s="672"/>
      <c r="V4" s="672"/>
      <c r="W4" s="672"/>
      <c r="X4" s="672"/>
      <c r="Y4" s="672"/>
      <c r="Z4" s="672"/>
      <c r="AA4" s="672"/>
      <c r="AB4" s="672"/>
      <c r="AC4" s="672"/>
      <c r="AD4" s="670"/>
      <c r="AE4" s="670"/>
      <c r="AF4" s="670"/>
      <c r="AG4" s="670"/>
      <c r="AH4" s="670"/>
      <c r="AI4" s="670"/>
      <c r="AJ4" s="670"/>
      <c r="AK4" s="670"/>
    </row>
    <row r="5" spans="1:117" ht="15" customHeight="1" thickBot="1" x14ac:dyDescent="0.25">
      <c r="A5" s="606" t="s">
        <v>389</v>
      </c>
      <c r="B5" s="673"/>
      <c r="C5" s="673"/>
      <c r="D5" s="673"/>
      <c r="E5" s="673"/>
      <c r="F5" s="673"/>
      <c r="G5" s="673"/>
      <c r="H5" s="673"/>
      <c r="I5" s="673"/>
      <c r="J5" s="673"/>
      <c r="K5" s="673"/>
      <c r="L5" s="673"/>
      <c r="M5" s="673"/>
      <c r="N5" s="673"/>
      <c r="O5" s="673"/>
      <c r="P5" s="673"/>
      <c r="Q5" s="673"/>
      <c r="R5" s="673"/>
      <c r="S5" s="673"/>
      <c r="T5" s="673"/>
      <c r="U5" s="673"/>
      <c r="V5" s="673"/>
      <c r="W5" s="673"/>
      <c r="X5" s="673"/>
      <c r="Y5" s="673"/>
      <c r="Z5" s="673"/>
      <c r="AA5" s="673"/>
      <c r="AB5" s="673"/>
      <c r="AC5" s="673"/>
      <c r="AD5" s="671"/>
      <c r="AE5" s="671"/>
      <c r="AF5" s="671"/>
      <c r="AG5" s="671"/>
      <c r="AH5" s="671"/>
      <c r="AI5" s="671"/>
      <c r="AJ5" s="671"/>
      <c r="AK5" s="671"/>
    </row>
    <row r="6" spans="1:117" ht="17.25" customHeight="1" thickTop="1" x14ac:dyDescent="0.2">
      <c r="A6" s="62"/>
      <c r="AL6" s="653"/>
      <c r="AM6" s="653"/>
      <c r="AN6" s="653"/>
      <c r="AO6" s="653"/>
      <c r="AR6" s="400"/>
      <c r="AS6" s="400" t="s">
        <v>662</v>
      </c>
    </row>
    <row r="7" spans="1:117" s="628" customFormat="1" ht="15" customHeight="1" x14ac:dyDescent="0.2">
      <c r="A7" s="627"/>
      <c r="B7" s="698" t="s">
        <v>35</v>
      </c>
      <c r="C7" s="698" t="s">
        <v>36</v>
      </c>
      <c r="D7" s="698" t="s">
        <v>321</v>
      </c>
      <c r="E7" s="698" t="s">
        <v>331</v>
      </c>
      <c r="F7" s="698" t="s">
        <v>37</v>
      </c>
      <c r="G7" s="698" t="s">
        <v>38</v>
      </c>
      <c r="H7" s="698" t="s">
        <v>322</v>
      </c>
      <c r="I7" s="698" t="s">
        <v>332</v>
      </c>
      <c r="J7" s="698" t="s">
        <v>39</v>
      </c>
      <c r="K7" s="698" t="s">
        <v>40</v>
      </c>
      <c r="L7" s="698" t="s">
        <v>323</v>
      </c>
      <c r="M7" s="698" t="s">
        <v>333</v>
      </c>
      <c r="N7" s="698" t="s">
        <v>41</v>
      </c>
      <c r="O7" s="698" t="s">
        <v>42</v>
      </c>
      <c r="P7" s="698" t="s">
        <v>324</v>
      </c>
      <c r="Q7" s="698" t="s">
        <v>334</v>
      </c>
      <c r="R7" s="698" t="s">
        <v>43</v>
      </c>
      <c r="S7" s="698" t="s">
        <v>44</v>
      </c>
      <c r="T7" s="698" t="s">
        <v>325</v>
      </c>
      <c r="U7" s="698" t="s">
        <v>335</v>
      </c>
      <c r="V7" s="698" t="s">
        <v>45</v>
      </c>
      <c r="W7" s="698" t="s">
        <v>46</v>
      </c>
      <c r="X7" s="698" t="s">
        <v>326</v>
      </c>
      <c r="Y7" s="698" t="s">
        <v>336</v>
      </c>
      <c r="Z7" s="698" t="s">
        <v>47</v>
      </c>
      <c r="AA7" s="698" t="s">
        <v>48</v>
      </c>
      <c r="AB7" s="698" t="s">
        <v>327</v>
      </c>
      <c r="AC7" s="698" t="s">
        <v>337</v>
      </c>
      <c r="AD7" s="698" t="s">
        <v>49</v>
      </c>
      <c r="AE7" s="698" t="s">
        <v>50</v>
      </c>
      <c r="AF7" s="698" t="s">
        <v>328</v>
      </c>
      <c r="AG7" s="698" t="s">
        <v>338</v>
      </c>
      <c r="AH7" s="698" t="s">
        <v>51</v>
      </c>
      <c r="AI7" s="698" t="s">
        <v>52</v>
      </c>
      <c r="AJ7" s="698" t="s">
        <v>329</v>
      </c>
      <c r="AK7" s="698" t="s">
        <v>339</v>
      </c>
      <c r="AL7" s="698" t="s">
        <v>53</v>
      </c>
      <c r="AM7" s="698" t="s">
        <v>54</v>
      </c>
      <c r="AN7" s="698" t="s">
        <v>330</v>
      </c>
      <c r="AO7" s="698" t="s">
        <v>340</v>
      </c>
      <c r="AP7" s="698" t="s">
        <v>71</v>
      </c>
      <c r="AQ7" s="698" t="s">
        <v>374</v>
      </c>
      <c r="AR7" s="698" t="s">
        <v>376</v>
      </c>
      <c r="AS7" s="698" t="s">
        <v>399</v>
      </c>
    </row>
    <row r="8" spans="1:117" s="624" customFormat="1" ht="9.9499999999999993" customHeight="1" x14ac:dyDescent="0.2">
      <c r="A8" s="629"/>
      <c r="B8" s="613"/>
      <c r="C8" s="613"/>
      <c r="D8" s="613"/>
      <c r="E8" s="613"/>
      <c r="F8" s="613"/>
      <c r="G8" s="613"/>
      <c r="H8" s="613"/>
      <c r="I8" s="613"/>
      <c r="J8" s="613"/>
      <c r="K8" s="613"/>
      <c r="L8" s="613"/>
      <c r="M8" s="613"/>
      <c r="N8" s="613"/>
      <c r="O8" s="613"/>
      <c r="P8" s="613"/>
      <c r="Q8" s="613"/>
      <c r="R8" s="613"/>
      <c r="S8" s="613"/>
      <c r="T8" s="613"/>
      <c r="U8" s="613"/>
      <c r="V8" s="613"/>
      <c r="W8" s="613"/>
      <c r="X8" s="613"/>
      <c r="Y8" s="613"/>
      <c r="Z8" s="613"/>
      <c r="AA8" s="613"/>
      <c r="AB8" s="613"/>
      <c r="AC8" s="613"/>
      <c r="AD8" s="613"/>
      <c r="AE8" s="613"/>
      <c r="AF8" s="613"/>
      <c r="AG8" s="613"/>
      <c r="AH8" s="613"/>
      <c r="AI8" s="613"/>
      <c r="AJ8" s="613"/>
      <c r="AK8" s="613"/>
      <c r="AL8" s="613"/>
      <c r="AM8" s="613"/>
      <c r="AN8" s="613"/>
      <c r="AO8" s="613"/>
      <c r="AP8" s="613"/>
      <c r="AQ8" s="613"/>
      <c r="AR8" s="613"/>
      <c r="AS8" s="613"/>
      <c r="AT8" s="647"/>
      <c r="AU8" s="647"/>
      <c r="AV8" s="647"/>
      <c r="AW8" s="647"/>
      <c r="AX8" s="647"/>
      <c r="AY8" s="647"/>
      <c r="AZ8" s="647"/>
      <c r="BA8" s="647"/>
      <c r="BB8" s="647"/>
      <c r="BC8" s="647"/>
      <c r="BD8" s="647"/>
      <c r="BE8" s="647"/>
      <c r="BF8" s="647"/>
      <c r="BG8" s="647"/>
      <c r="BH8" s="647"/>
      <c r="BI8" s="647"/>
      <c r="BJ8" s="647"/>
      <c r="BK8" s="647"/>
      <c r="BL8" s="647"/>
      <c r="BM8" s="647"/>
      <c r="BN8" s="647"/>
      <c r="BO8" s="647"/>
      <c r="BP8" s="647"/>
      <c r="BQ8" s="647"/>
      <c r="BR8" s="647"/>
      <c r="BS8" s="647"/>
      <c r="BT8" s="647"/>
      <c r="BU8" s="647"/>
      <c r="BV8" s="647"/>
      <c r="BW8" s="647"/>
      <c r="BX8" s="647"/>
      <c r="BY8" s="647"/>
    </row>
    <row r="9" spans="1:117" ht="5.0999999999999996" customHeight="1" x14ac:dyDescent="0.2">
      <c r="A9" s="674"/>
      <c r="B9" s="675"/>
      <c r="C9" s="675"/>
      <c r="D9" s="675"/>
      <c r="E9" s="675"/>
      <c r="F9" s="675"/>
      <c r="G9" s="675"/>
      <c r="H9" s="675"/>
      <c r="I9" s="675"/>
      <c r="J9" s="674"/>
      <c r="K9" s="674"/>
      <c r="L9" s="674"/>
      <c r="M9" s="674"/>
      <c r="N9" s="674"/>
      <c r="O9" s="674"/>
      <c r="P9" s="674"/>
      <c r="Q9" s="674"/>
      <c r="R9" s="674"/>
      <c r="S9" s="674"/>
      <c r="T9" s="674"/>
      <c r="U9" s="674"/>
      <c r="V9" s="674"/>
      <c r="W9" s="674"/>
      <c r="X9" s="674"/>
      <c r="Y9" s="674"/>
      <c r="Z9" s="674"/>
      <c r="AA9" s="674"/>
      <c r="AB9" s="674"/>
      <c r="AC9" s="674"/>
      <c r="AD9" s="674"/>
      <c r="AE9" s="674"/>
      <c r="AF9" s="674"/>
      <c r="AG9" s="674"/>
      <c r="AH9" s="674"/>
      <c r="AI9" s="674"/>
      <c r="AJ9" s="674"/>
      <c r="AK9" s="674"/>
      <c r="AL9" s="674"/>
      <c r="AM9" s="674"/>
      <c r="AN9" s="674"/>
      <c r="AO9" s="674"/>
    </row>
    <row r="10" spans="1:117" s="676" customFormat="1" ht="15" customHeight="1" x14ac:dyDescent="0.2">
      <c r="A10" s="173" t="s">
        <v>101</v>
      </c>
      <c r="B10" s="631">
        <f>SUM(B11:B18)</f>
        <v>45866</v>
      </c>
      <c r="C10" s="631">
        <f t="shared" ref="C10:AN10" si="0">SUM(C11:C18)</f>
        <v>49388</v>
      </c>
      <c r="D10" s="631">
        <f t="shared" si="0"/>
        <v>53959</v>
      </c>
      <c r="E10" s="631">
        <f t="shared" si="0"/>
        <v>58716</v>
      </c>
      <c r="F10" s="631">
        <f t="shared" si="0"/>
        <v>61642</v>
      </c>
      <c r="G10" s="631">
        <f t="shared" si="0"/>
        <v>64889</v>
      </c>
      <c r="H10" s="631">
        <f>SUM(H11:H18)</f>
        <v>68788</v>
      </c>
      <c r="I10" s="631">
        <f t="shared" si="0"/>
        <v>72603</v>
      </c>
      <c r="J10" s="631">
        <f t="shared" si="0"/>
        <v>72507</v>
      </c>
      <c r="K10" s="631">
        <f t="shared" si="0"/>
        <v>73193</v>
      </c>
      <c r="L10" s="631">
        <f t="shared" si="0"/>
        <v>74228</v>
      </c>
      <c r="M10" s="631">
        <f t="shared" si="0"/>
        <v>80922</v>
      </c>
      <c r="N10" s="631">
        <f t="shared" si="0"/>
        <v>84729</v>
      </c>
      <c r="O10" s="631">
        <f t="shared" si="0"/>
        <v>88322</v>
      </c>
      <c r="P10" s="631">
        <f t="shared" si="0"/>
        <v>91654</v>
      </c>
      <c r="Q10" s="631">
        <f t="shared" si="0"/>
        <v>96884</v>
      </c>
      <c r="R10" s="631">
        <f t="shared" si="0"/>
        <v>98738</v>
      </c>
      <c r="S10" s="631">
        <f t="shared" si="0"/>
        <v>101462</v>
      </c>
      <c r="T10" s="631">
        <f t="shared" si="0"/>
        <v>103901</v>
      </c>
      <c r="U10" s="631">
        <f t="shared" si="0"/>
        <v>106972</v>
      </c>
      <c r="V10" s="631">
        <f t="shared" si="0"/>
        <v>108322</v>
      </c>
      <c r="W10" s="631">
        <f t="shared" si="0"/>
        <v>110952</v>
      </c>
      <c r="X10" s="631">
        <f t="shared" si="0"/>
        <v>113309</v>
      </c>
      <c r="Y10" s="631">
        <f t="shared" si="0"/>
        <v>116405</v>
      </c>
      <c r="Z10" s="631">
        <f t="shared" si="0"/>
        <v>118263</v>
      </c>
      <c r="AA10" s="631">
        <f t="shared" si="0"/>
        <v>122571</v>
      </c>
      <c r="AB10" s="631">
        <f t="shared" si="0"/>
        <v>126116</v>
      </c>
      <c r="AC10" s="631">
        <f t="shared" si="0"/>
        <v>129680</v>
      </c>
      <c r="AD10" s="631">
        <f t="shared" si="0"/>
        <v>131553</v>
      </c>
      <c r="AE10" s="631">
        <f t="shared" si="0"/>
        <v>133959</v>
      </c>
      <c r="AF10" s="631">
        <f t="shared" si="0"/>
        <v>136946</v>
      </c>
      <c r="AG10" s="631">
        <f t="shared" si="0"/>
        <v>140309</v>
      </c>
      <c r="AH10" s="631">
        <f t="shared" si="0"/>
        <v>140859</v>
      </c>
      <c r="AI10" s="631">
        <f t="shared" si="0"/>
        <v>142232</v>
      </c>
      <c r="AJ10" s="631">
        <f t="shared" si="0"/>
        <v>143941</v>
      </c>
      <c r="AK10" s="631">
        <f t="shared" si="0"/>
        <v>146540</v>
      </c>
      <c r="AL10" s="631">
        <f t="shared" si="0"/>
        <v>146658</v>
      </c>
      <c r="AM10" s="631">
        <f t="shared" si="0"/>
        <v>147911</v>
      </c>
      <c r="AN10" s="631">
        <f t="shared" si="0"/>
        <v>169570.92</v>
      </c>
      <c r="AO10" s="631">
        <f t="shared" ref="AO10" si="1">SUM(AO11:AO18)</f>
        <v>170994</v>
      </c>
      <c r="AP10" s="631">
        <f t="shared" ref="AP10:AS10" si="2">SUM(AP11:AP18)</f>
        <v>170726</v>
      </c>
      <c r="AQ10" s="631">
        <f t="shared" si="2"/>
        <v>170877.09000000003</v>
      </c>
      <c r="AR10" s="631">
        <f t="shared" si="2"/>
        <v>171007.92</v>
      </c>
      <c r="AS10" s="631">
        <f t="shared" si="2"/>
        <v>174537</v>
      </c>
    </row>
    <row r="11" spans="1:117" s="616" customFormat="1" ht="15" customHeight="1" x14ac:dyDescent="0.2">
      <c r="A11" s="172" t="s">
        <v>392</v>
      </c>
      <c r="B11" s="634">
        <v>9585</v>
      </c>
      <c r="C11" s="634">
        <v>10143</v>
      </c>
      <c r="D11" s="634">
        <v>11434</v>
      </c>
      <c r="E11" s="634">
        <v>11990</v>
      </c>
      <c r="F11" s="634">
        <v>12504</v>
      </c>
      <c r="G11" s="634">
        <v>12545</v>
      </c>
      <c r="H11" s="373">
        <v>12705</v>
      </c>
      <c r="I11" s="373">
        <v>12793</v>
      </c>
      <c r="J11" s="373">
        <v>13314</v>
      </c>
      <c r="K11" s="373">
        <v>14199</v>
      </c>
      <c r="L11" s="373">
        <v>14668</v>
      </c>
      <c r="M11" s="373">
        <v>16272</v>
      </c>
      <c r="N11" s="373">
        <v>18742</v>
      </c>
      <c r="O11" s="373">
        <v>21040</v>
      </c>
      <c r="P11" s="373">
        <v>22762</v>
      </c>
      <c r="Q11" s="373">
        <v>24119</v>
      </c>
      <c r="R11" s="373">
        <v>25814</v>
      </c>
      <c r="S11" s="373">
        <v>27122</v>
      </c>
      <c r="T11" s="373">
        <v>28057</v>
      </c>
      <c r="U11" s="373">
        <v>28506</v>
      </c>
      <c r="V11" s="373">
        <v>29850</v>
      </c>
      <c r="W11" s="373">
        <v>31478</v>
      </c>
      <c r="X11" s="373">
        <v>32714</v>
      </c>
      <c r="Y11" s="373">
        <v>33665</v>
      </c>
      <c r="Z11" s="373">
        <v>35802</v>
      </c>
      <c r="AA11" s="373">
        <v>38353</v>
      </c>
      <c r="AB11" s="373">
        <v>40644</v>
      </c>
      <c r="AC11" s="373">
        <v>41542</v>
      </c>
      <c r="AD11" s="373">
        <v>43095</v>
      </c>
      <c r="AE11" s="373">
        <v>43916</v>
      </c>
      <c r="AF11" s="373">
        <v>44530</v>
      </c>
      <c r="AG11" s="373">
        <v>44505</v>
      </c>
      <c r="AH11" s="373">
        <v>45903</v>
      </c>
      <c r="AI11" s="373">
        <v>47071</v>
      </c>
      <c r="AJ11" s="373">
        <v>48062</v>
      </c>
      <c r="AK11" s="373">
        <v>48180</v>
      </c>
      <c r="AL11" s="373">
        <v>49063</v>
      </c>
      <c r="AM11" s="373">
        <v>49747</v>
      </c>
      <c r="AN11" s="373">
        <v>54973</v>
      </c>
      <c r="AO11" s="373">
        <v>57241</v>
      </c>
      <c r="AP11" s="373">
        <v>57698</v>
      </c>
      <c r="AQ11" s="373">
        <v>58411</v>
      </c>
      <c r="AR11" s="373">
        <v>59673</v>
      </c>
      <c r="AS11" s="373">
        <v>60845</v>
      </c>
      <c r="AT11" s="373"/>
      <c r="AU11" s="373"/>
      <c r="AV11" s="373"/>
      <c r="AW11" s="373"/>
      <c r="AX11" s="373"/>
      <c r="AY11" s="373"/>
      <c r="AZ11" s="373"/>
      <c r="BA11" s="373"/>
      <c r="BB11" s="373"/>
      <c r="BC11" s="373"/>
      <c r="BD11" s="373"/>
      <c r="BE11" s="373"/>
      <c r="BF11" s="373"/>
      <c r="BG11" s="373"/>
      <c r="BH11" s="373"/>
      <c r="BI11" s="373"/>
      <c r="BJ11" s="373"/>
      <c r="BK11" s="373"/>
      <c r="BL11" s="373"/>
      <c r="BM11" s="373"/>
      <c r="BN11" s="373"/>
      <c r="BO11" s="373"/>
      <c r="BP11" s="373"/>
      <c r="BQ11" s="373"/>
      <c r="BR11" s="373"/>
      <c r="BS11" s="373"/>
      <c r="BT11" s="373"/>
      <c r="BU11" s="373"/>
      <c r="BV11" s="373"/>
      <c r="BW11" s="373"/>
      <c r="BX11" s="373"/>
      <c r="BY11" s="373"/>
      <c r="BZ11" s="373"/>
      <c r="CA11" s="373"/>
      <c r="CB11" s="373"/>
      <c r="CC11" s="373"/>
      <c r="CD11" s="373"/>
      <c r="CE11" s="373"/>
      <c r="CF11" s="373"/>
      <c r="CG11" s="373"/>
      <c r="CH11" s="373"/>
      <c r="CI11" s="373"/>
      <c r="CJ11" s="373"/>
      <c r="CK11" s="373"/>
      <c r="CL11" s="373"/>
      <c r="CM11" s="373"/>
      <c r="CN11" s="373"/>
      <c r="CO11" s="373"/>
      <c r="CP11" s="373"/>
      <c r="CQ11" s="373"/>
      <c r="CR11" s="373"/>
      <c r="CS11" s="373"/>
      <c r="CT11" s="373"/>
      <c r="CU11" s="373"/>
      <c r="CV11" s="373"/>
      <c r="CW11" s="373"/>
      <c r="CX11" s="373"/>
      <c r="CY11" s="373"/>
      <c r="CZ11" s="373"/>
      <c r="DA11" s="373"/>
      <c r="DB11" s="373"/>
      <c r="DC11" s="373"/>
      <c r="DD11" s="373"/>
      <c r="DE11" s="373"/>
      <c r="DF11" s="373"/>
      <c r="DG11" s="373"/>
      <c r="DH11" s="373"/>
      <c r="DI11" s="373"/>
      <c r="DJ11" s="373"/>
      <c r="DK11" s="373"/>
      <c r="DL11" s="373"/>
      <c r="DM11" s="373"/>
    </row>
    <row r="12" spans="1:117" s="616" customFormat="1" ht="15" customHeight="1" x14ac:dyDescent="0.2">
      <c r="A12" s="172" t="s">
        <v>393</v>
      </c>
      <c r="B12" s="634">
        <v>5913</v>
      </c>
      <c r="C12" s="634">
        <v>6711</v>
      </c>
      <c r="D12" s="634">
        <v>7012</v>
      </c>
      <c r="E12" s="634">
        <v>8078</v>
      </c>
      <c r="F12" s="634">
        <v>7970</v>
      </c>
      <c r="G12" s="634">
        <v>8208</v>
      </c>
      <c r="H12" s="373">
        <v>8345</v>
      </c>
      <c r="I12" s="373">
        <v>9216</v>
      </c>
      <c r="J12" s="373">
        <v>8682</v>
      </c>
      <c r="K12" s="373">
        <v>8972</v>
      </c>
      <c r="L12" s="373">
        <v>9386</v>
      </c>
      <c r="M12" s="373">
        <v>14085</v>
      </c>
      <c r="N12" s="373">
        <v>13704</v>
      </c>
      <c r="O12" s="373">
        <v>14576</v>
      </c>
      <c r="P12" s="373">
        <v>14617</v>
      </c>
      <c r="Q12" s="373">
        <v>16605</v>
      </c>
      <c r="R12" s="373">
        <v>15808</v>
      </c>
      <c r="S12" s="373">
        <v>16363</v>
      </c>
      <c r="T12" s="373">
        <v>16617</v>
      </c>
      <c r="U12" s="373">
        <v>17734</v>
      </c>
      <c r="V12" s="373">
        <v>16929</v>
      </c>
      <c r="W12" s="373">
        <v>17654</v>
      </c>
      <c r="X12" s="373">
        <v>17973</v>
      </c>
      <c r="Y12" s="373">
        <v>20077</v>
      </c>
      <c r="Z12" s="373">
        <v>19420</v>
      </c>
      <c r="AA12" s="373">
        <v>20316</v>
      </c>
      <c r="AB12" s="373">
        <v>21036</v>
      </c>
      <c r="AC12" s="373">
        <v>23103</v>
      </c>
      <c r="AD12" s="373">
        <v>22452</v>
      </c>
      <c r="AE12" s="373">
        <v>22896</v>
      </c>
      <c r="AF12" s="373">
        <v>23316</v>
      </c>
      <c r="AG12" s="373">
        <v>25244</v>
      </c>
      <c r="AH12" s="373">
        <v>23922</v>
      </c>
      <c r="AI12" s="373">
        <v>24284</v>
      </c>
      <c r="AJ12" s="373">
        <v>24759</v>
      </c>
      <c r="AK12" s="373">
        <v>27314</v>
      </c>
      <c r="AL12" s="373">
        <v>26300</v>
      </c>
      <c r="AM12" s="373">
        <v>27350</v>
      </c>
      <c r="AN12" s="373">
        <v>32067.94</v>
      </c>
      <c r="AO12" s="373">
        <v>35622</v>
      </c>
      <c r="AP12" s="373">
        <v>34018</v>
      </c>
      <c r="AQ12" s="373">
        <v>33525</v>
      </c>
      <c r="AR12" s="373">
        <v>32867</v>
      </c>
      <c r="AS12" s="373">
        <v>34437</v>
      </c>
      <c r="AT12" s="373"/>
      <c r="AU12" s="373"/>
      <c r="AV12" s="373"/>
      <c r="AW12" s="373"/>
      <c r="AX12" s="373"/>
      <c r="AY12" s="373"/>
      <c r="AZ12" s="373"/>
      <c r="BA12" s="373"/>
      <c r="BB12" s="373"/>
      <c r="BC12" s="373"/>
      <c r="BD12" s="373"/>
      <c r="BE12" s="373"/>
      <c r="BF12" s="373"/>
      <c r="BG12" s="373"/>
      <c r="BH12" s="373"/>
      <c r="BI12" s="373"/>
      <c r="BJ12" s="373"/>
      <c r="BK12" s="373"/>
      <c r="BL12" s="373"/>
      <c r="BM12" s="373"/>
      <c r="BN12" s="373"/>
      <c r="BO12" s="373"/>
      <c r="BP12" s="373"/>
      <c r="BQ12" s="373"/>
      <c r="BR12" s="373"/>
      <c r="BS12" s="373"/>
      <c r="BT12" s="373"/>
      <c r="BU12" s="373"/>
      <c r="BV12" s="373"/>
      <c r="BW12" s="373"/>
      <c r="BX12" s="373"/>
      <c r="BY12" s="373"/>
      <c r="BZ12" s="373"/>
      <c r="CA12" s="373"/>
      <c r="CB12" s="373"/>
      <c r="CC12" s="373"/>
      <c r="CD12" s="373"/>
      <c r="CE12" s="373"/>
      <c r="CF12" s="373"/>
      <c r="CG12" s="373"/>
      <c r="CH12" s="373"/>
      <c r="CI12" s="373"/>
      <c r="CJ12" s="373"/>
      <c r="CK12" s="373"/>
      <c r="CL12" s="373"/>
      <c r="CM12" s="373"/>
      <c r="CN12" s="373"/>
      <c r="CO12" s="373"/>
      <c r="CP12" s="373"/>
      <c r="CQ12" s="373"/>
      <c r="CR12" s="373"/>
      <c r="CS12" s="373"/>
      <c r="CT12" s="373"/>
      <c r="CU12" s="373"/>
      <c r="CV12" s="373"/>
      <c r="CW12" s="373"/>
      <c r="CX12" s="373"/>
      <c r="CY12" s="373"/>
      <c r="CZ12" s="373"/>
      <c r="DA12" s="373"/>
      <c r="DB12" s="373"/>
      <c r="DC12" s="373"/>
      <c r="DD12" s="373"/>
      <c r="DE12" s="373"/>
      <c r="DF12" s="373"/>
      <c r="DG12" s="373"/>
      <c r="DH12" s="373"/>
      <c r="DI12" s="373"/>
      <c r="DJ12" s="373"/>
      <c r="DK12" s="373"/>
      <c r="DL12" s="373"/>
      <c r="DM12" s="373"/>
    </row>
    <row r="13" spans="1:117" s="616" customFormat="1" ht="15" customHeight="1" x14ac:dyDescent="0.2">
      <c r="A13" s="139" t="s">
        <v>394</v>
      </c>
      <c r="B13" s="634">
        <v>2602</v>
      </c>
      <c r="C13" s="634">
        <v>2771</v>
      </c>
      <c r="D13" s="634">
        <v>2891</v>
      </c>
      <c r="E13" s="634">
        <v>3101</v>
      </c>
      <c r="F13" s="634">
        <v>3325</v>
      </c>
      <c r="G13" s="634">
        <v>3587</v>
      </c>
      <c r="H13" s="634">
        <v>3852</v>
      </c>
      <c r="I13" s="634">
        <v>4138</v>
      </c>
      <c r="J13" s="634">
        <v>4080</v>
      </c>
      <c r="K13" s="634">
        <v>4313</v>
      </c>
      <c r="L13" s="634">
        <v>4697</v>
      </c>
      <c r="M13" s="634">
        <v>5224</v>
      </c>
      <c r="N13" s="634">
        <v>5533</v>
      </c>
      <c r="O13" s="634">
        <v>6091</v>
      </c>
      <c r="P13" s="634">
        <v>6803</v>
      </c>
      <c r="Q13" s="634">
        <v>7465</v>
      </c>
      <c r="R13" s="634">
        <v>8174</v>
      </c>
      <c r="S13" s="634">
        <v>9035</v>
      </c>
      <c r="T13" s="634">
        <v>10076</v>
      </c>
      <c r="U13" s="634">
        <v>11104</v>
      </c>
      <c r="V13" s="634">
        <v>11905</v>
      </c>
      <c r="W13" s="634">
        <v>12731</v>
      </c>
      <c r="X13" s="634">
        <v>13512</v>
      </c>
      <c r="Y13" s="634">
        <v>14194</v>
      </c>
      <c r="Z13" s="634">
        <v>14841</v>
      </c>
      <c r="AA13" s="634">
        <v>15855</v>
      </c>
      <c r="AB13" s="634">
        <v>16482</v>
      </c>
      <c r="AC13" s="634">
        <v>17360</v>
      </c>
      <c r="AD13" s="634">
        <v>18343</v>
      </c>
      <c r="AE13" s="634">
        <v>19513</v>
      </c>
      <c r="AF13" s="634">
        <v>20851</v>
      </c>
      <c r="AG13" s="634">
        <v>22166</v>
      </c>
      <c r="AH13" s="634">
        <v>23262</v>
      </c>
      <c r="AI13" s="634">
        <v>24400</v>
      </c>
      <c r="AJ13" s="634">
        <v>26168</v>
      </c>
      <c r="AK13" s="634">
        <v>28017</v>
      </c>
      <c r="AL13" s="634">
        <v>29165</v>
      </c>
      <c r="AM13" s="634">
        <v>30459</v>
      </c>
      <c r="AN13" s="634">
        <v>38412</v>
      </c>
      <c r="AO13" s="634">
        <v>31959</v>
      </c>
      <c r="AP13" s="634">
        <v>32269</v>
      </c>
      <c r="AQ13" s="634">
        <v>32625</v>
      </c>
      <c r="AR13" s="634">
        <v>33022</v>
      </c>
      <c r="AS13" s="634">
        <v>33419</v>
      </c>
      <c r="AT13" s="373"/>
      <c r="AU13" s="373"/>
      <c r="AV13" s="373"/>
      <c r="AW13" s="373"/>
      <c r="AX13" s="373"/>
      <c r="AY13" s="373"/>
      <c r="AZ13" s="373"/>
      <c r="BA13" s="373"/>
      <c r="BB13" s="373"/>
      <c r="BC13" s="373"/>
      <c r="BD13" s="373"/>
      <c r="BE13" s="373"/>
      <c r="BF13" s="373"/>
      <c r="BG13" s="373"/>
      <c r="BH13" s="373"/>
      <c r="BI13" s="373"/>
      <c r="BJ13" s="373"/>
      <c r="BK13" s="373"/>
      <c r="BL13" s="373"/>
      <c r="BM13" s="373"/>
      <c r="BN13" s="373"/>
      <c r="BO13" s="373"/>
      <c r="BP13" s="373"/>
      <c r="BQ13" s="373"/>
      <c r="BR13" s="373"/>
      <c r="BS13" s="373"/>
      <c r="BT13" s="373"/>
      <c r="BU13" s="373"/>
      <c r="BV13" s="373"/>
      <c r="BW13" s="373"/>
      <c r="BX13" s="373"/>
      <c r="BY13" s="373"/>
      <c r="BZ13" s="373"/>
      <c r="CA13" s="373"/>
      <c r="CB13" s="373"/>
      <c r="CC13" s="373"/>
      <c r="CD13" s="373"/>
      <c r="CE13" s="373"/>
      <c r="CF13" s="373"/>
      <c r="CG13" s="373"/>
      <c r="CH13" s="373"/>
      <c r="CI13" s="373"/>
      <c r="CJ13" s="373"/>
      <c r="CK13" s="373"/>
      <c r="CL13" s="373"/>
      <c r="CM13" s="373"/>
      <c r="CN13" s="373"/>
      <c r="CO13" s="373"/>
      <c r="CP13" s="373"/>
      <c r="CQ13" s="373"/>
      <c r="CR13" s="373"/>
      <c r="CS13" s="373"/>
      <c r="CT13" s="373"/>
      <c r="CU13" s="373"/>
      <c r="CV13" s="373"/>
      <c r="CW13" s="373"/>
      <c r="CX13" s="373"/>
      <c r="CY13" s="373"/>
      <c r="CZ13" s="373"/>
      <c r="DA13" s="373"/>
      <c r="DB13" s="373"/>
      <c r="DC13" s="373"/>
      <c r="DD13" s="373"/>
      <c r="DE13" s="373"/>
      <c r="DF13" s="373"/>
      <c r="DG13" s="373"/>
      <c r="DH13" s="373"/>
      <c r="DI13" s="373"/>
      <c r="DJ13" s="373"/>
      <c r="DK13" s="373"/>
      <c r="DL13" s="373"/>
      <c r="DM13" s="373"/>
    </row>
    <row r="14" spans="1:117" s="616" customFormat="1" ht="15" customHeight="1" x14ac:dyDescent="0.2">
      <c r="A14" s="595" t="s">
        <v>341</v>
      </c>
      <c r="B14" s="634">
        <v>20083</v>
      </c>
      <c r="C14" s="634">
        <v>21743</v>
      </c>
      <c r="D14" s="634">
        <v>23955</v>
      </c>
      <c r="E14" s="634">
        <v>26641</v>
      </c>
      <c r="F14" s="634">
        <v>28389</v>
      </c>
      <c r="G14" s="634">
        <v>30377</v>
      </c>
      <c r="H14" s="634">
        <v>32790</v>
      </c>
      <c r="I14" s="634">
        <v>33564</v>
      </c>
      <c r="J14" s="634">
        <v>33521</v>
      </c>
      <c r="K14" s="634">
        <v>33094</v>
      </c>
      <c r="L14" s="634">
        <v>32653</v>
      </c>
      <c r="M14" s="634">
        <v>32222</v>
      </c>
      <c r="N14" s="634">
        <v>33038</v>
      </c>
      <c r="O14" s="634">
        <v>32630</v>
      </c>
      <c r="P14" s="634">
        <v>32747</v>
      </c>
      <c r="Q14" s="634">
        <v>33707</v>
      </c>
      <c r="R14" s="634">
        <v>33305</v>
      </c>
      <c r="S14" s="634">
        <v>33124</v>
      </c>
      <c r="T14" s="634">
        <v>32822</v>
      </c>
      <c r="U14" s="634">
        <v>33214</v>
      </c>
      <c r="V14" s="634">
        <v>32747</v>
      </c>
      <c r="W14" s="634">
        <v>32361</v>
      </c>
      <c r="X14" s="634">
        <v>32025</v>
      </c>
      <c r="Y14" s="634">
        <v>31283</v>
      </c>
      <c r="Z14" s="634">
        <v>30242</v>
      </c>
      <c r="AA14" s="634">
        <v>29385</v>
      </c>
      <c r="AB14" s="634">
        <v>28286</v>
      </c>
      <c r="AC14" s="634">
        <v>27309</v>
      </c>
      <c r="AD14" s="634">
        <v>26095</v>
      </c>
      <c r="AE14" s="634">
        <v>25325</v>
      </c>
      <c r="AF14" s="634">
        <v>25127</v>
      </c>
      <c r="AG14" s="634">
        <v>24948</v>
      </c>
      <c r="AH14" s="634">
        <v>24034</v>
      </c>
      <c r="AI14" s="634">
        <v>23241</v>
      </c>
      <c r="AJ14" s="634">
        <v>22546</v>
      </c>
      <c r="AK14" s="634">
        <v>21742</v>
      </c>
      <c r="AL14" s="634">
        <v>20689</v>
      </c>
      <c r="AM14" s="634">
        <v>19655</v>
      </c>
      <c r="AN14" s="634">
        <v>22443.279999999999</v>
      </c>
      <c r="AO14" s="634">
        <v>19952</v>
      </c>
      <c r="AP14" s="634">
        <v>19526</v>
      </c>
      <c r="AQ14" s="634">
        <v>19470</v>
      </c>
      <c r="AR14" s="634">
        <v>19851</v>
      </c>
      <c r="AS14" s="634">
        <v>20784</v>
      </c>
      <c r="AT14" s="373"/>
      <c r="AU14" s="373"/>
      <c r="AV14" s="373"/>
      <c r="AW14" s="373"/>
      <c r="AX14" s="373"/>
      <c r="AY14" s="373"/>
      <c r="AZ14" s="373"/>
      <c r="BA14" s="373"/>
      <c r="BB14" s="373"/>
      <c r="BC14" s="373"/>
      <c r="BD14" s="373"/>
      <c r="BE14" s="373"/>
      <c r="BF14" s="373"/>
      <c r="BG14" s="373"/>
      <c r="BH14" s="373"/>
      <c r="BI14" s="373"/>
      <c r="BJ14" s="373"/>
      <c r="BK14" s="373"/>
      <c r="BL14" s="373"/>
      <c r="BM14" s="373"/>
      <c r="BN14" s="373"/>
      <c r="BO14" s="373"/>
      <c r="BP14" s="373"/>
      <c r="BQ14" s="373"/>
      <c r="BR14" s="373"/>
      <c r="BS14" s="373"/>
      <c r="BT14" s="373"/>
      <c r="BU14" s="373"/>
      <c r="BV14" s="373"/>
      <c r="BW14" s="373"/>
      <c r="BX14" s="373"/>
      <c r="BY14" s="373"/>
      <c r="BZ14" s="373"/>
      <c r="CA14" s="373"/>
      <c r="CB14" s="373"/>
      <c r="CC14" s="373"/>
      <c r="CD14" s="373"/>
      <c r="CE14" s="373"/>
      <c r="CF14" s="373"/>
      <c r="CG14" s="373"/>
      <c r="CH14" s="373"/>
      <c r="CI14" s="373"/>
      <c r="CJ14" s="373"/>
      <c r="CK14" s="373"/>
      <c r="CL14" s="373"/>
      <c r="CM14" s="373"/>
      <c r="CN14" s="373"/>
      <c r="CO14" s="373"/>
      <c r="CP14" s="373"/>
      <c r="CQ14" s="373"/>
      <c r="CR14" s="373"/>
      <c r="CS14" s="373"/>
      <c r="CT14" s="373"/>
      <c r="CU14" s="373"/>
      <c r="CV14" s="373"/>
      <c r="CW14" s="373"/>
      <c r="CX14" s="373"/>
      <c r="CY14" s="373"/>
      <c r="CZ14" s="373"/>
      <c r="DA14" s="373"/>
      <c r="DB14" s="373"/>
      <c r="DC14" s="373"/>
      <c r="DD14" s="373"/>
      <c r="DE14" s="373"/>
      <c r="DF14" s="373"/>
      <c r="DG14" s="373"/>
      <c r="DH14" s="373"/>
      <c r="DI14" s="373"/>
      <c r="DJ14" s="373"/>
      <c r="DK14" s="373"/>
      <c r="DL14" s="373"/>
      <c r="DM14" s="373"/>
    </row>
    <row r="15" spans="1:117" s="616" customFormat="1" ht="15" customHeight="1" x14ac:dyDescent="0.2">
      <c r="A15" s="595" t="s">
        <v>594</v>
      </c>
      <c r="B15" s="634">
        <v>2000</v>
      </c>
      <c r="C15" s="634">
        <v>2168</v>
      </c>
      <c r="D15" s="634">
        <v>2684</v>
      </c>
      <c r="E15" s="634">
        <v>3138</v>
      </c>
      <c r="F15" s="634">
        <v>3384</v>
      </c>
      <c r="G15" s="634">
        <v>3734</v>
      </c>
      <c r="H15" s="373">
        <v>4349</v>
      </c>
      <c r="I15" s="373">
        <v>4125</v>
      </c>
      <c r="J15" s="373">
        <v>4063</v>
      </c>
      <c r="K15" s="373">
        <v>4177</v>
      </c>
      <c r="L15" s="373">
        <v>4696</v>
      </c>
      <c r="M15" s="373">
        <v>4866</v>
      </c>
      <c r="N15" s="373">
        <v>4785</v>
      </c>
      <c r="O15" s="373">
        <v>4701</v>
      </c>
      <c r="P15" s="373">
        <v>5380</v>
      </c>
      <c r="Q15" s="373">
        <v>5798</v>
      </c>
      <c r="R15" s="373">
        <v>5946</v>
      </c>
      <c r="S15" s="373">
        <v>6009</v>
      </c>
      <c r="T15" s="373">
        <v>6414</v>
      </c>
      <c r="U15" s="373">
        <v>6641</v>
      </c>
      <c r="V15" s="373">
        <v>6599</v>
      </c>
      <c r="W15" s="373">
        <v>6367</v>
      </c>
      <c r="X15" s="373">
        <v>6528</v>
      </c>
      <c r="Y15" s="373">
        <v>6927</v>
      </c>
      <c r="Z15" s="373">
        <v>6806</v>
      </c>
      <c r="AA15" s="373">
        <v>6752</v>
      </c>
      <c r="AB15" s="373">
        <v>7832</v>
      </c>
      <c r="AC15" s="373">
        <v>8393</v>
      </c>
      <c r="AD15" s="373">
        <v>8813</v>
      </c>
      <c r="AE15" s="373">
        <v>9350</v>
      </c>
      <c r="AF15" s="373">
        <v>9876</v>
      </c>
      <c r="AG15" s="373">
        <v>10300</v>
      </c>
      <c r="AH15" s="373">
        <v>10121</v>
      </c>
      <c r="AI15" s="373">
        <v>9662</v>
      </c>
      <c r="AJ15" s="373">
        <v>8717</v>
      </c>
      <c r="AK15" s="373">
        <v>8215</v>
      </c>
      <c r="AL15" s="373">
        <v>8045</v>
      </c>
      <c r="AM15" s="373">
        <v>7687</v>
      </c>
      <c r="AN15" s="373">
        <v>7738</v>
      </c>
      <c r="AO15" s="373">
        <v>7887</v>
      </c>
      <c r="AP15" s="373">
        <v>8305.74</v>
      </c>
      <c r="AQ15" s="373">
        <v>8356.42</v>
      </c>
      <c r="AR15" s="373">
        <v>7881.47</v>
      </c>
      <c r="AS15" s="373">
        <v>7947</v>
      </c>
      <c r="AT15" s="373"/>
      <c r="AU15" s="373"/>
      <c r="AV15" s="373"/>
      <c r="AW15" s="373"/>
      <c r="AX15" s="373"/>
      <c r="AY15" s="373"/>
      <c r="AZ15" s="373"/>
      <c r="BA15" s="373"/>
      <c r="BB15" s="373"/>
      <c r="BC15" s="373"/>
      <c r="BD15" s="373"/>
      <c r="BE15" s="373"/>
      <c r="BF15" s="373"/>
      <c r="BG15" s="373"/>
      <c r="BH15" s="373"/>
      <c r="BI15" s="373"/>
      <c r="BJ15" s="373"/>
      <c r="BK15" s="373"/>
      <c r="BL15" s="373"/>
      <c r="BM15" s="373"/>
      <c r="BN15" s="373"/>
      <c r="BO15" s="373"/>
      <c r="BP15" s="373"/>
      <c r="BQ15" s="373"/>
      <c r="BR15" s="373"/>
      <c r="BS15" s="373"/>
      <c r="BT15" s="373"/>
      <c r="BU15" s="373"/>
      <c r="BV15" s="373"/>
      <c r="BW15" s="373"/>
      <c r="BX15" s="373"/>
      <c r="BY15" s="373"/>
      <c r="BZ15" s="373"/>
      <c r="CA15" s="373"/>
      <c r="CB15" s="373"/>
      <c r="CC15" s="373"/>
      <c r="CD15" s="373"/>
      <c r="CE15" s="373"/>
      <c r="CF15" s="373"/>
      <c r="CG15" s="373"/>
      <c r="CH15" s="373"/>
      <c r="CI15" s="373"/>
      <c r="CJ15" s="373"/>
      <c r="CK15" s="373"/>
      <c r="CL15" s="373"/>
      <c r="CM15" s="373"/>
      <c r="CN15" s="373"/>
      <c r="CO15" s="373"/>
      <c r="CP15" s="373"/>
      <c r="CQ15" s="373"/>
      <c r="CR15" s="373"/>
      <c r="CS15" s="373"/>
      <c r="CT15" s="373"/>
      <c r="CU15" s="373"/>
      <c r="CV15" s="373"/>
      <c r="CW15" s="373"/>
      <c r="CX15" s="373"/>
      <c r="CY15" s="373"/>
      <c r="CZ15" s="373"/>
      <c r="DA15" s="373"/>
      <c r="DB15" s="373"/>
      <c r="DC15" s="373"/>
      <c r="DD15" s="373"/>
      <c r="DE15" s="373"/>
      <c r="DF15" s="373"/>
      <c r="DG15" s="373"/>
      <c r="DH15" s="373"/>
      <c r="DI15" s="373"/>
      <c r="DJ15" s="373"/>
      <c r="DK15" s="373"/>
      <c r="DL15" s="373"/>
      <c r="DM15" s="373"/>
    </row>
    <row r="16" spans="1:117" s="616" customFormat="1" ht="15" customHeight="1" x14ac:dyDescent="0.2">
      <c r="A16" s="172" t="s">
        <v>591</v>
      </c>
      <c r="B16" s="634">
        <v>2990</v>
      </c>
      <c r="C16" s="634">
        <v>2970</v>
      </c>
      <c r="D16" s="634">
        <v>3060</v>
      </c>
      <c r="E16" s="634">
        <v>2843</v>
      </c>
      <c r="F16" s="634">
        <v>2867</v>
      </c>
      <c r="G16" s="634">
        <v>3024</v>
      </c>
      <c r="H16" s="373">
        <v>3147</v>
      </c>
      <c r="I16" s="373">
        <v>2898</v>
      </c>
      <c r="J16" s="373">
        <v>2876</v>
      </c>
      <c r="K16" s="373">
        <v>2764</v>
      </c>
      <c r="L16" s="373">
        <v>2764</v>
      </c>
      <c r="M16" s="373">
        <v>2879</v>
      </c>
      <c r="N16" s="373">
        <v>3439</v>
      </c>
      <c r="O16" s="373">
        <v>3883</v>
      </c>
      <c r="P16" s="373">
        <v>4157</v>
      </c>
      <c r="Q16" s="373">
        <v>4394</v>
      </c>
      <c r="R16" s="373">
        <v>4704</v>
      </c>
      <c r="S16" s="373">
        <v>4930</v>
      </c>
      <c r="T16" s="373">
        <v>5177</v>
      </c>
      <c r="U16" s="373">
        <v>5336</v>
      </c>
      <c r="V16" s="373">
        <v>5494</v>
      </c>
      <c r="W16" s="373">
        <v>5515</v>
      </c>
      <c r="X16" s="373">
        <v>5628</v>
      </c>
      <c r="Y16" s="373">
        <v>5775</v>
      </c>
      <c r="Z16" s="373">
        <v>6187</v>
      </c>
      <c r="AA16" s="373">
        <v>6421</v>
      </c>
      <c r="AB16" s="373">
        <v>6534</v>
      </c>
      <c r="AC16" s="373">
        <v>6803</v>
      </c>
      <c r="AD16" s="373">
        <v>7014</v>
      </c>
      <c r="AE16" s="373">
        <v>6955</v>
      </c>
      <c r="AF16" s="373">
        <v>7224</v>
      </c>
      <c r="AG16" s="373">
        <v>7334</v>
      </c>
      <c r="AH16" s="373">
        <v>7324</v>
      </c>
      <c r="AI16" s="373">
        <v>7170</v>
      </c>
      <c r="AJ16" s="373">
        <v>7098</v>
      </c>
      <c r="AK16" s="373">
        <v>7029</v>
      </c>
      <c r="AL16" s="373">
        <v>6992</v>
      </c>
      <c r="AM16" s="373">
        <v>6789</v>
      </c>
      <c r="AN16" s="373">
        <v>6641</v>
      </c>
      <c r="AO16" s="373">
        <v>6685</v>
      </c>
      <c r="AP16" s="373">
        <v>6668.26</v>
      </c>
      <c r="AQ16" s="373">
        <v>6632.67</v>
      </c>
      <c r="AR16" s="373">
        <v>6426.4500000000007</v>
      </c>
      <c r="AS16" s="373">
        <v>6394</v>
      </c>
      <c r="AT16" s="373"/>
      <c r="AU16" s="373"/>
      <c r="AV16" s="373"/>
      <c r="AW16" s="373"/>
      <c r="AX16" s="373"/>
      <c r="AY16" s="373"/>
      <c r="AZ16" s="373"/>
      <c r="BA16" s="373"/>
      <c r="BB16" s="373"/>
      <c r="BC16" s="373"/>
      <c r="BD16" s="373"/>
      <c r="BE16" s="373"/>
      <c r="BF16" s="373"/>
      <c r="BG16" s="373"/>
      <c r="BH16" s="373"/>
      <c r="BI16" s="373"/>
      <c r="BJ16" s="373"/>
      <c r="BK16" s="373"/>
      <c r="BL16" s="373"/>
      <c r="BM16" s="373"/>
      <c r="BN16" s="373"/>
      <c r="BO16" s="373"/>
      <c r="BP16" s="373"/>
      <c r="BQ16" s="373"/>
      <c r="BR16" s="373"/>
      <c r="BS16" s="373"/>
      <c r="BT16" s="373"/>
      <c r="BU16" s="373"/>
      <c r="BV16" s="373"/>
      <c r="BW16" s="373"/>
      <c r="BX16" s="373"/>
      <c r="BY16" s="373"/>
      <c r="BZ16" s="373"/>
      <c r="CA16" s="373"/>
      <c r="CB16" s="373"/>
      <c r="CC16" s="373"/>
      <c r="CD16" s="373"/>
      <c r="CE16" s="373"/>
      <c r="CF16" s="373"/>
      <c r="CG16" s="373"/>
      <c r="CH16" s="373"/>
      <c r="CI16" s="373"/>
      <c r="CJ16" s="373"/>
      <c r="CK16" s="373"/>
      <c r="CL16" s="373"/>
      <c r="CM16" s="373"/>
      <c r="CN16" s="373"/>
      <c r="CO16" s="373"/>
      <c r="CP16" s="373"/>
      <c r="CQ16" s="373"/>
      <c r="CR16" s="373"/>
      <c r="CS16" s="373"/>
      <c r="CT16" s="373"/>
      <c r="CU16" s="373"/>
      <c r="CV16" s="373"/>
      <c r="CW16" s="373"/>
      <c r="CX16" s="373"/>
      <c r="CY16" s="373"/>
      <c r="CZ16" s="373"/>
      <c r="DA16" s="373"/>
      <c r="DB16" s="373"/>
      <c r="DC16" s="373"/>
      <c r="DD16" s="373"/>
      <c r="DE16" s="373"/>
      <c r="DF16" s="373"/>
      <c r="DG16" s="373"/>
      <c r="DH16" s="373"/>
      <c r="DI16" s="373"/>
      <c r="DJ16" s="373"/>
      <c r="DK16" s="373"/>
      <c r="DL16" s="373"/>
      <c r="DM16" s="373"/>
    </row>
    <row r="17" spans="1:117" s="616" customFormat="1" ht="15" customHeight="1" x14ac:dyDescent="0.2">
      <c r="A17" s="504" t="s">
        <v>395</v>
      </c>
      <c r="B17" s="634">
        <v>2222</v>
      </c>
      <c r="C17" s="634">
        <v>2207</v>
      </c>
      <c r="D17" s="634">
        <v>2229</v>
      </c>
      <c r="E17" s="634">
        <v>2146</v>
      </c>
      <c r="F17" s="634">
        <v>2490</v>
      </c>
      <c r="G17" s="634">
        <v>2553</v>
      </c>
      <c r="H17" s="634">
        <v>2596</v>
      </c>
      <c r="I17" s="634">
        <v>2502</v>
      </c>
      <c r="J17" s="634">
        <v>2749</v>
      </c>
      <c r="K17" s="634">
        <v>2738</v>
      </c>
      <c r="L17" s="634">
        <v>2638</v>
      </c>
      <c r="M17" s="634">
        <v>2574</v>
      </c>
      <c r="N17" s="634">
        <v>2949</v>
      </c>
      <c r="O17" s="634">
        <v>3060</v>
      </c>
      <c r="P17" s="634">
        <v>3018</v>
      </c>
      <c r="Q17" s="634">
        <v>2758</v>
      </c>
      <c r="R17" s="634">
        <v>3200</v>
      </c>
      <c r="S17" s="634">
        <v>3253</v>
      </c>
      <c r="T17" s="634">
        <v>3279</v>
      </c>
      <c r="U17" s="634">
        <v>2987</v>
      </c>
      <c r="V17" s="634">
        <v>3452</v>
      </c>
      <c r="W17" s="634">
        <v>3443</v>
      </c>
      <c r="X17" s="634">
        <v>3432</v>
      </c>
      <c r="Y17" s="634">
        <v>3214</v>
      </c>
      <c r="Z17" s="634">
        <v>3646</v>
      </c>
      <c r="AA17" s="634">
        <v>3670</v>
      </c>
      <c r="AB17" s="634">
        <v>3799</v>
      </c>
      <c r="AC17" s="634">
        <v>3513</v>
      </c>
      <c r="AD17" s="634">
        <v>3978</v>
      </c>
      <c r="AE17" s="634">
        <v>4164</v>
      </c>
      <c r="AF17" s="634">
        <v>4144</v>
      </c>
      <c r="AG17" s="634">
        <v>3853</v>
      </c>
      <c r="AH17" s="634">
        <v>4328</v>
      </c>
      <c r="AI17" s="634">
        <v>4460</v>
      </c>
      <c r="AJ17" s="634">
        <v>4558</v>
      </c>
      <c r="AK17" s="634">
        <v>4079</v>
      </c>
      <c r="AL17" s="634">
        <v>4560</v>
      </c>
      <c r="AM17" s="634">
        <v>4457</v>
      </c>
      <c r="AN17" s="634">
        <v>5357.7</v>
      </c>
      <c r="AO17" s="634">
        <v>4509</v>
      </c>
      <c r="AP17" s="634">
        <v>4742</v>
      </c>
      <c r="AQ17" s="634">
        <v>4438</v>
      </c>
      <c r="AR17" s="634">
        <v>4143</v>
      </c>
      <c r="AS17" s="634">
        <v>3582</v>
      </c>
      <c r="AT17" s="373"/>
      <c r="AU17" s="373"/>
      <c r="AV17" s="373"/>
      <c r="AW17" s="373"/>
      <c r="AX17" s="373"/>
      <c r="AY17" s="373"/>
      <c r="AZ17" s="373"/>
      <c r="BA17" s="373"/>
      <c r="BB17" s="373"/>
      <c r="BC17" s="373"/>
      <c r="BD17" s="373"/>
      <c r="BE17" s="373"/>
      <c r="BF17" s="373"/>
      <c r="BG17" s="373"/>
      <c r="BH17" s="373"/>
      <c r="BI17" s="373"/>
      <c r="BJ17" s="373"/>
      <c r="BK17" s="373"/>
      <c r="BL17" s="373"/>
      <c r="BM17" s="373"/>
      <c r="BN17" s="373"/>
      <c r="BO17" s="373"/>
      <c r="BP17" s="373"/>
      <c r="BQ17" s="373"/>
      <c r="BR17" s="373"/>
      <c r="BS17" s="373"/>
      <c r="BT17" s="373"/>
      <c r="BU17" s="373"/>
      <c r="BV17" s="373"/>
      <c r="BW17" s="373"/>
      <c r="BX17" s="373"/>
      <c r="BY17" s="373"/>
      <c r="BZ17" s="373"/>
      <c r="CA17" s="373"/>
      <c r="CB17" s="373"/>
      <c r="CC17" s="373"/>
      <c r="CD17" s="373"/>
      <c r="CE17" s="373"/>
      <c r="CF17" s="373"/>
      <c r="CG17" s="373"/>
      <c r="CH17" s="373"/>
      <c r="CI17" s="373"/>
      <c r="CJ17" s="373"/>
      <c r="CK17" s="373"/>
      <c r="CL17" s="373"/>
      <c r="CM17" s="373"/>
      <c r="CN17" s="373"/>
      <c r="CO17" s="373"/>
      <c r="CP17" s="373"/>
      <c r="CQ17" s="373"/>
      <c r="CR17" s="373"/>
      <c r="CS17" s="373"/>
      <c r="CT17" s="373"/>
      <c r="CU17" s="373"/>
      <c r="CV17" s="373"/>
      <c r="CW17" s="373"/>
      <c r="CX17" s="373"/>
      <c r="CY17" s="373"/>
      <c r="CZ17" s="373"/>
      <c r="DA17" s="373"/>
      <c r="DB17" s="373"/>
      <c r="DC17" s="373"/>
      <c r="DD17" s="373"/>
      <c r="DE17" s="373"/>
      <c r="DF17" s="373"/>
      <c r="DG17" s="373"/>
      <c r="DH17" s="373"/>
      <c r="DI17" s="373"/>
      <c r="DJ17" s="373"/>
      <c r="DK17" s="373"/>
      <c r="DL17" s="373"/>
      <c r="DM17" s="373"/>
    </row>
    <row r="18" spans="1:117" s="616" customFormat="1" ht="15" customHeight="1" x14ac:dyDescent="0.2">
      <c r="A18" s="172" t="s">
        <v>91</v>
      </c>
      <c r="B18" s="634">
        <v>471</v>
      </c>
      <c r="C18" s="634">
        <v>675</v>
      </c>
      <c r="D18" s="634">
        <v>694</v>
      </c>
      <c r="E18" s="634">
        <v>779</v>
      </c>
      <c r="F18" s="634">
        <v>713</v>
      </c>
      <c r="G18" s="634">
        <v>861</v>
      </c>
      <c r="H18" s="634">
        <v>1004</v>
      </c>
      <c r="I18" s="634">
        <v>3367</v>
      </c>
      <c r="J18" s="634">
        <v>3222</v>
      </c>
      <c r="K18" s="634">
        <v>2936</v>
      </c>
      <c r="L18" s="634">
        <v>2726</v>
      </c>
      <c r="M18" s="634">
        <v>2800</v>
      </c>
      <c r="N18" s="634">
        <v>2539</v>
      </c>
      <c r="O18" s="634">
        <v>2341</v>
      </c>
      <c r="P18" s="634">
        <v>2170</v>
      </c>
      <c r="Q18" s="634">
        <v>2038</v>
      </c>
      <c r="R18" s="634">
        <v>1787</v>
      </c>
      <c r="S18" s="634">
        <v>1626</v>
      </c>
      <c r="T18" s="634">
        <v>1459</v>
      </c>
      <c r="U18" s="634">
        <v>1450</v>
      </c>
      <c r="V18" s="634">
        <v>1346</v>
      </c>
      <c r="W18" s="634">
        <v>1403</v>
      </c>
      <c r="X18" s="634">
        <v>1497</v>
      </c>
      <c r="Y18" s="634">
        <v>1270</v>
      </c>
      <c r="Z18" s="634">
        <v>1319</v>
      </c>
      <c r="AA18" s="634">
        <v>1819</v>
      </c>
      <c r="AB18" s="634">
        <v>1503</v>
      </c>
      <c r="AC18" s="634">
        <v>1657</v>
      </c>
      <c r="AD18" s="634">
        <v>1763</v>
      </c>
      <c r="AE18" s="634">
        <v>1840</v>
      </c>
      <c r="AF18" s="634">
        <v>1878</v>
      </c>
      <c r="AG18" s="634">
        <v>1959</v>
      </c>
      <c r="AH18" s="634">
        <v>1965</v>
      </c>
      <c r="AI18" s="634">
        <v>1944</v>
      </c>
      <c r="AJ18" s="634">
        <v>2033</v>
      </c>
      <c r="AK18" s="634">
        <v>1964</v>
      </c>
      <c r="AL18" s="634">
        <v>1844</v>
      </c>
      <c r="AM18" s="634">
        <v>1767</v>
      </c>
      <c r="AN18" s="634">
        <v>1938</v>
      </c>
      <c r="AO18" s="634">
        <f>7195-56</f>
        <v>7139</v>
      </c>
      <c r="AP18" s="634">
        <v>7499</v>
      </c>
      <c r="AQ18" s="634">
        <f>7483-64</f>
        <v>7419</v>
      </c>
      <c r="AR18" s="634">
        <f>7215-71</f>
        <v>7144</v>
      </c>
      <c r="AS18" s="634">
        <f>7209-80</f>
        <v>7129</v>
      </c>
      <c r="AT18" s="373"/>
      <c r="AU18" s="373"/>
      <c r="AV18" s="373"/>
      <c r="AW18" s="373"/>
      <c r="AX18" s="373"/>
      <c r="AY18" s="373"/>
      <c r="AZ18" s="373"/>
      <c r="BA18" s="373"/>
      <c r="BB18" s="373"/>
      <c r="BC18" s="373"/>
      <c r="BD18" s="373"/>
      <c r="BE18" s="373"/>
      <c r="BF18" s="373"/>
      <c r="BG18" s="373"/>
      <c r="BH18" s="373"/>
      <c r="BI18" s="373"/>
      <c r="BJ18" s="373"/>
      <c r="BK18" s="373"/>
      <c r="BL18" s="373"/>
      <c r="BM18" s="373"/>
      <c r="BN18" s="373"/>
      <c r="BO18" s="373"/>
      <c r="BP18" s="373"/>
      <c r="BQ18" s="373"/>
      <c r="BR18" s="373"/>
      <c r="BS18" s="373"/>
      <c r="BT18" s="373"/>
      <c r="BU18" s="373"/>
      <c r="BV18" s="373"/>
      <c r="BW18" s="373"/>
      <c r="BX18" s="373"/>
      <c r="BY18" s="373"/>
      <c r="BZ18" s="373"/>
      <c r="CA18" s="373"/>
      <c r="CB18" s="373"/>
      <c r="CC18" s="373"/>
      <c r="CD18" s="373"/>
      <c r="CE18" s="373"/>
      <c r="CF18" s="373"/>
      <c r="CG18" s="373"/>
      <c r="CH18" s="373"/>
      <c r="CI18" s="373"/>
      <c r="CJ18" s="373"/>
      <c r="CK18" s="373"/>
      <c r="CL18" s="373"/>
      <c r="CM18" s="373"/>
      <c r="CN18" s="373"/>
      <c r="CO18" s="373"/>
      <c r="CP18" s="373"/>
      <c r="CQ18" s="373"/>
      <c r="CR18" s="373"/>
      <c r="CS18" s="373"/>
      <c r="CT18" s="373"/>
      <c r="CU18" s="373"/>
      <c r="CV18" s="373"/>
      <c r="CW18" s="373"/>
      <c r="CX18" s="373"/>
      <c r="CY18" s="373"/>
      <c r="CZ18" s="373"/>
      <c r="DA18" s="373"/>
      <c r="DB18" s="373"/>
      <c r="DC18" s="373"/>
      <c r="DD18" s="373"/>
      <c r="DE18" s="373"/>
      <c r="DF18" s="373"/>
      <c r="DG18" s="373"/>
      <c r="DH18" s="373"/>
      <c r="DI18" s="373"/>
      <c r="DJ18" s="373"/>
      <c r="DK18" s="373"/>
      <c r="DL18" s="373"/>
      <c r="DM18" s="373"/>
    </row>
    <row r="19" spans="1:117" s="676" customFormat="1" ht="15" customHeight="1" x14ac:dyDescent="0.2">
      <c r="A19" s="173" t="s">
        <v>25</v>
      </c>
      <c r="B19" s="631">
        <f t="shared" ref="B19:AN19" si="3">SUM(B20:B28)</f>
        <v>60370</v>
      </c>
      <c r="C19" s="631">
        <f t="shared" si="3"/>
        <v>64036</v>
      </c>
      <c r="D19" s="631">
        <f t="shared" si="3"/>
        <v>67635</v>
      </c>
      <c r="E19" s="631">
        <f t="shared" si="3"/>
        <v>78396</v>
      </c>
      <c r="F19" s="631">
        <f t="shared" si="3"/>
        <v>82687</v>
      </c>
      <c r="G19" s="631">
        <f t="shared" si="3"/>
        <v>89129</v>
      </c>
      <c r="H19" s="210">
        <f t="shared" si="3"/>
        <v>97618</v>
      </c>
      <c r="I19" s="210">
        <f t="shared" si="3"/>
        <v>107352</v>
      </c>
      <c r="J19" s="210">
        <f t="shared" si="3"/>
        <v>107541</v>
      </c>
      <c r="K19" s="210">
        <f t="shared" si="3"/>
        <v>106184</v>
      </c>
      <c r="L19" s="210">
        <f t="shared" si="3"/>
        <v>106741</v>
      </c>
      <c r="M19" s="210">
        <f t="shared" si="3"/>
        <v>110067</v>
      </c>
      <c r="N19" s="211">
        <f t="shared" si="3"/>
        <v>113378</v>
      </c>
      <c r="O19" s="211">
        <f t="shared" si="3"/>
        <v>120266</v>
      </c>
      <c r="P19" s="211">
        <f t="shared" si="3"/>
        <v>125620</v>
      </c>
      <c r="Q19" s="211">
        <f t="shared" si="3"/>
        <v>133730</v>
      </c>
      <c r="R19" s="211">
        <f t="shared" si="3"/>
        <v>141174</v>
      </c>
      <c r="S19" s="211">
        <f t="shared" si="3"/>
        <v>149372</v>
      </c>
      <c r="T19" s="211">
        <f t="shared" si="3"/>
        <v>156570</v>
      </c>
      <c r="U19" s="211">
        <f t="shared" si="3"/>
        <v>161696</v>
      </c>
      <c r="V19" s="211">
        <f t="shared" si="3"/>
        <v>161427</v>
      </c>
      <c r="W19" s="211">
        <f t="shared" si="3"/>
        <v>168214</v>
      </c>
      <c r="X19" s="211">
        <f t="shared" si="3"/>
        <v>171058</v>
      </c>
      <c r="Y19" s="211">
        <f t="shared" si="3"/>
        <v>174555</v>
      </c>
      <c r="Z19" s="211">
        <f t="shared" si="3"/>
        <v>179620</v>
      </c>
      <c r="AA19" s="211">
        <f t="shared" si="3"/>
        <v>183003</v>
      </c>
      <c r="AB19" s="211">
        <f t="shared" si="3"/>
        <v>185539</v>
      </c>
      <c r="AC19" s="211">
        <f t="shared" si="3"/>
        <v>193381</v>
      </c>
      <c r="AD19" s="211">
        <f t="shared" si="3"/>
        <v>196704</v>
      </c>
      <c r="AE19" s="211">
        <f t="shared" si="3"/>
        <v>194709</v>
      </c>
      <c r="AF19" s="211">
        <f t="shared" si="3"/>
        <v>198957.66999999998</v>
      </c>
      <c r="AG19" s="211">
        <f t="shared" si="3"/>
        <v>206335</v>
      </c>
      <c r="AH19" s="211">
        <f t="shared" si="3"/>
        <v>211565</v>
      </c>
      <c r="AI19" s="211">
        <f t="shared" si="3"/>
        <v>212791.70999999996</v>
      </c>
      <c r="AJ19" s="211">
        <f t="shared" si="3"/>
        <v>222114</v>
      </c>
      <c r="AK19" s="211">
        <f t="shared" si="3"/>
        <v>220455</v>
      </c>
      <c r="AL19" s="211">
        <f t="shared" si="3"/>
        <v>207066</v>
      </c>
      <c r="AM19" s="211">
        <f t="shared" si="3"/>
        <v>193910</v>
      </c>
      <c r="AN19" s="211">
        <f t="shared" si="3"/>
        <v>229837.86</v>
      </c>
      <c r="AO19" s="211">
        <f t="shared" ref="AO19:AS19" si="4">SUM(AO20:AO28)</f>
        <v>221157</v>
      </c>
      <c r="AP19" s="211">
        <f t="shared" si="4"/>
        <v>211224.25999999998</v>
      </c>
      <c r="AQ19" s="211">
        <f t="shared" si="4"/>
        <v>204777.36</v>
      </c>
      <c r="AR19" s="211">
        <f t="shared" si="4"/>
        <v>197891.00999999998</v>
      </c>
      <c r="AS19" s="211">
        <f t="shared" si="4"/>
        <v>195542</v>
      </c>
    </row>
    <row r="20" spans="1:117" s="616" customFormat="1" ht="15" customHeight="1" x14ac:dyDescent="0.2">
      <c r="A20" s="172" t="s">
        <v>396</v>
      </c>
      <c r="B20" s="634">
        <v>8990</v>
      </c>
      <c r="C20" s="634">
        <v>9546</v>
      </c>
      <c r="D20" s="634">
        <v>10589</v>
      </c>
      <c r="E20" s="634">
        <v>14686</v>
      </c>
      <c r="F20" s="634">
        <v>16099</v>
      </c>
      <c r="G20" s="634">
        <v>19136</v>
      </c>
      <c r="H20" s="373">
        <v>22020</v>
      </c>
      <c r="I20" s="373">
        <v>25869</v>
      </c>
      <c r="J20" s="373">
        <v>25795</v>
      </c>
      <c r="K20" s="373">
        <v>25816</v>
      </c>
      <c r="L20" s="373">
        <v>26518</v>
      </c>
      <c r="M20" s="373">
        <v>27676</v>
      </c>
      <c r="N20" s="373">
        <v>29526</v>
      </c>
      <c r="O20" s="373">
        <v>29883</v>
      </c>
      <c r="P20" s="373">
        <v>31371</v>
      </c>
      <c r="Q20" s="373">
        <v>34729</v>
      </c>
      <c r="R20" s="373">
        <v>36161</v>
      </c>
      <c r="S20" s="373">
        <v>37863</v>
      </c>
      <c r="T20" s="373">
        <v>38590</v>
      </c>
      <c r="U20" s="373">
        <v>41863</v>
      </c>
      <c r="V20" s="373">
        <v>41551</v>
      </c>
      <c r="W20" s="373">
        <v>42533</v>
      </c>
      <c r="X20" s="373">
        <v>42416</v>
      </c>
      <c r="Y20" s="373">
        <v>44811</v>
      </c>
      <c r="Z20" s="373">
        <v>44992</v>
      </c>
      <c r="AA20" s="373">
        <v>44207</v>
      </c>
      <c r="AB20" s="373">
        <v>44255</v>
      </c>
      <c r="AC20" s="373">
        <v>45599</v>
      </c>
      <c r="AD20" s="373">
        <v>43304</v>
      </c>
      <c r="AE20" s="373">
        <v>42869</v>
      </c>
      <c r="AF20" s="373">
        <v>42802</v>
      </c>
      <c r="AG20" s="373">
        <v>45004</v>
      </c>
      <c r="AH20" s="373">
        <v>43277</v>
      </c>
      <c r="AI20" s="373">
        <v>42324</v>
      </c>
      <c r="AJ20" s="373">
        <v>42096</v>
      </c>
      <c r="AK20" s="373">
        <v>42432</v>
      </c>
      <c r="AL20" s="373">
        <v>40052</v>
      </c>
      <c r="AM20" s="373">
        <v>38608</v>
      </c>
      <c r="AN20" s="373">
        <v>48206.76</v>
      </c>
      <c r="AO20" s="373">
        <v>45943</v>
      </c>
      <c r="AP20" s="373">
        <v>43806.57</v>
      </c>
      <c r="AQ20" s="373">
        <v>41843.370000000003</v>
      </c>
      <c r="AR20" s="373">
        <v>39739</v>
      </c>
      <c r="AS20" s="373">
        <v>40075</v>
      </c>
      <c r="AT20" s="373"/>
      <c r="AU20" s="373"/>
      <c r="AV20" s="373"/>
      <c r="AW20" s="373"/>
      <c r="AX20" s="373"/>
      <c r="AY20" s="373"/>
      <c r="AZ20" s="373"/>
      <c r="BA20" s="373"/>
      <c r="BB20" s="373"/>
      <c r="BC20" s="373"/>
      <c r="BD20" s="373"/>
      <c r="BE20" s="373"/>
      <c r="BF20" s="373"/>
      <c r="BG20" s="373"/>
      <c r="BH20" s="373"/>
      <c r="BI20" s="373"/>
      <c r="BJ20" s="373"/>
      <c r="BK20" s="373"/>
      <c r="BL20" s="373"/>
      <c r="BM20" s="373"/>
      <c r="BN20" s="373"/>
      <c r="BO20" s="373"/>
      <c r="BP20" s="373"/>
      <c r="BQ20" s="373"/>
      <c r="BR20" s="373"/>
      <c r="BS20" s="373"/>
      <c r="BT20" s="373"/>
      <c r="BU20" s="373"/>
      <c r="BV20" s="373"/>
      <c r="BW20" s="373"/>
      <c r="BX20" s="373"/>
      <c r="BY20" s="373"/>
      <c r="BZ20" s="373"/>
      <c r="CA20" s="373"/>
      <c r="CB20" s="373"/>
      <c r="CC20" s="373"/>
      <c r="CD20" s="373"/>
      <c r="CE20" s="373"/>
      <c r="CF20" s="373"/>
      <c r="CG20" s="373"/>
      <c r="CH20" s="373"/>
      <c r="CI20" s="373"/>
      <c r="CJ20" s="373"/>
      <c r="CK20" s="373"/>
      <c r="CL20" s="373"/>
      <c r="CM20" s="373"/>
      <c r="CN20" s="373"/>
      <c r="CO20" s="373"/>
      <c r="CP20" s="373"/>
      <c r="CQ20" s="373"/>
      <c r="CR20" s="373"/>
      <c r="CS20" s="373"/>
      <c r="CT20" s="373"/>
      <c r="CU20" s="373"/>
      <c r="CV20" s="373"/>
      <c r="CW20" s="373"/>
      <c r="CX20" s="373"/>
      <c r="CY20" s="373"/>
      <c r="CZ20" s="373"/>
      <c r="DA20" s="373"/>
      <c r="DB20" s="373"/>
      <c r="DC20" s="373"/>
      <c r="DD20" s="373"/>
      <c r="DE20" s="373"/>
      <c r="DF20" s="373"/>
      <c r="DG20" s="373"/>
      <c r="DH20" s="373"/>
      <c r="DI20" s="373"/>
      <c r="DJ20" s="373"/>
      <c r="DK20" s="373"/>
      <c r="DL20" s="373"/>
      <c r="DM20" s="373"/>
    </row>
    <row r="21" spans="1:117" s="616" customFormat="1" ht="15" customHeight="1" x14ac:dyDescent="0.2">
      <c r="A21" s="172" t="s">
        <v>589</v>
      </c>
      <c r="B21" s="634">
        <v>7163</v>
      </c>
      <c r="C21" s="634">
        <v>7747</v>
      </c>
      <c r="D21" s="634">
        <v>8294</v>
      </c>
      <c r="E21" s="634">
        <v>8535</v>
      </c>
      <c r="F21" s="634">
        <v>8176</v>
      </c>
      <c r="G21" s="634">
        <v>8007</v>
      </c>
      <c r="H21" s="373">
        <v>10738</v>
      </c>
      <c r="I21" s="373">
        <v>11137</v>
      </c>
      <c r="J21" s="373">
        <v>11410</v>
      </c>
      <c r="K21" s="373">
        <v>10735</v>
      </c>
      <c r="L21" s="373">
        <v>10656</v>
      </c>
      <c r="M21" s="373">
        <v>13128</v>
      </c>
      <c r="N21" s="373">
        <v>14017</v>
      </c>
      <c r="O21" s="373">
        <v>15150</v>
      </c>
      <c r="P21" s="373">
        <v>14748</v>
      </c>
      <c r="Q21" s="373">
        <v>17927</v>
      </c>
      <c r="R21" s="373">
        <v>19099</v>
      </c>
      <c r="S21" s="373">
        <v>19650</v>
      </c>
      <c r="T21" s="373">
        <v>23083</v>
      </c>
      <c r="U21" s="373">
        <v>22659</v>
      </c>
      <c r="V21" s="373">
        <v>21670</v>
      </c>
      <c r="W21" s="373">
        <v>23615</v>
      </c>
      <c r="X21" s="373">
        <v>24748</v>
      </c>
      <c r="Y21" s="373">
        <v>25243</v>
      </c>
      <c r="Z21" s="373">
        <v>24542</v>
      </c>
      <c r="AA21" s="373">
        <v>26638</v>
      </c>
      <c r="AB21" s="373">
        <v>27530</v>
      </c>
      <c r="AC21" s="373">
        <v>32003</v>
      </c>
      <c r="AD21" s="373">
        <v>31778</v>
      </c>
      <c r="AE21" s="373">
        <v>29249</v>
      </c>
      <c r="AF21" s="373">
        <v>33474</v>
      </c>
      <c r="AG21" s="373">
        <v>36119</v>
      </c>
      <c r="AH21" s="373">
        <v>42139</v>
      </c>
      <c r="AI21" s="373">
        <v>41089.97</v>
      </c>
      <c r="AJ21" s="373">
        <v>51441</v>
      </c>
      <c r="AK21" s="373">
        <v>48453</v>
      </c>
      <c r="AL21" s="373">
        <v>41712</v>
      </c>
      <c r="AM21" s="373">
        <v>33890</v>
      </c>
      <c r="AN21" s="373">
        <v>39563.81</v>
      </c>
      <c r="AO21" s="373">
        <v>37250</v>
      </c>
      <c r="AP21" s="373">
        <v>33671.06</v>
      </c>
      <c r="AQ21" s="373">
        <v>32589.73</v>
      </c>
      <c r="AR21" s="373">
        <v>30533.71</v>
      </c>
      <c r="AS21" s="373">
        <v>29776</v>
      </c>
      <c r="AT21" s="373"/>
      <c r="AU21" s="373"/>
      <c r="AV21" s="373"/>
      <c r="AW21" s="373"/>
      <c r="AX21" s="373"/>
      <c r="AY21" s="373"/>
      <c r="AZ21" s="373"/>
      <c r="BA21" s="373"/>
      <c r="BB21" s="373"/>
      <c r="BC21" s="373"/>
      <c r="BD21" s="373"/>
      <c r="BE21" s="373"/>
      <c r="BF21" s="373"/>
      <c r="BG21" s="373"/>
      <c r="BH21" s="373"/>
      <c r="BI21" s="373"/>
      <c r="BJ21" s="373"/>
      <c r="BK21" s="373"/>
      <c r="BL21" s="373"/>
      <c r="BM21" s="373"/>
      <c r="BN21" s="373"/>
      <c r="BO21" s="373"/>
      <c r="BP21" s="373"/>
      <c r="BQ21" s="373"/>
      <c r="BR21" s="373"/>
      <c r="BS21" s="373"/>
      <c r="BT21" s="373"/>
      <c r="BU21" s="373"/>
      <c r="BV21" s="373"/>
      <c r="BW21" s="373"/>
      <c r="BX21" s="373"/>
      <c r="BY21" s="373"/>
      <c r="BZ21" s="373"/>
      <c r="CA21" s="373"/>
      <c r="CB21" s="373"/>
      <c r="CC21" s="373"/>
      <c r="CD21" s="373"/>
      <c r="CE21" s="373"/>
      <c r="CF21" s="373"/>
      <c r="CG21" s="373"/>
      <c r="CH21" s="373"/>
      <c r="CI21" s="373"/>
      <c r="CJ21" s="373"/>
      <c r="CK21" s="373"/>
      <c r="CL21" s="373"/>
      <c r="CM21" s="373"/>
      <c r="CN21" s="373"/>
      <c r="CO21" s="373"/>
      <c r="CP21" s="373"/>
      <c r="CQ21" s="373"/>
      <c r="CR21" s="373"/>
      <c r="CS21" s="373"/>
      <c r="CT21" s="373"/>
      <c r="CU21" s="373"/>
      <c r="CV21" s="373"/>
      <c r="CW21" s="373"/>
      <c r="CX21" s="373"/>
      <c r="CY21" s="373"/>
      <c r="CZ21" s="373"/>
      <c r="DA21" s="373"/>
      <c r="DB21" s="373"/>
      <c r="DC21" s="373"/>
      <c r="DD21" s="373"/>
      <c r="DE21" s="373"/>
      <c r="DF21" s="373"/>
      <c r="DG21" s="373"/>
      <c r="DH21" s="373"/>
      <c r="DI21" s="373"/>
      <c r="DJ21" s="373"/>
      <c r="DK21" s="373"/>
      <c r="DL21" s="373"/>
      <c r="DM21" s="373"/>
    </row>
    <row r="22" spans="1:117" s="616" customFormat="1" ht="15" customHeight="1" x14ac:dyDescent="0.2">
      <c r="A22" s="172" t="s">
        <v>590</v>
      </c>
      <c r="B22" s="634">
        <v>6350</v>
      </c>
      <c r="C22" s="634">
        <v>6635</v>
      </c>
      <c r="D22" s="634">
        <v>6976</v>
      </c>
      <c r="E22" s="634">
        <v>7812</v>
      </c>
      <c r="F22" s="634">
        <v>9737</v>
      </c>
      <c r="G22" s="634">
        <v>11033</v>
      </c>
      <c r="H22" s="373">
        <v>10427</v>
      </c>
      <c r="I22" s="373">
        <v>13721</v>
      </c>
      <c r="J22" s="373">
        <v>13922</v>
      </c>
      <c r="K22" s="373">
        <v>13066</v>
      </c>
      <c r="L22" s="373">
        <v>10687</v>
      </c>
      <c r="M22" s="373">
        <v>8750</v>
      </c>
      <c r="N22" s="373">
        <v>8016</v>
      </c>
      <c r="O22" s="373">
        <v>8581</v>
      </c>
      <c r="P22" s="373">
        <v>8748</v>
      </c>
      <c r="Q22" s="373">
        <v>7133</v>
      </c>
      <c r="R22" s="373">
        <v>8500</v>
      </c>
      <c r="S22" s="373">
        <v>9367</v>
      </c>
      <c r="T22" s="373">
        <v>9123</v>
      </c>
      <c r="U22" s="373">
        <v>9824</v>
      </c>
      <c r="V22" s="373">
        <v>10479</v>
      </c>
      <c r="W22" s="373">
        <v>12408</v>
      </c>
      <c r="X22" s="373">
        <v>12974</v>
      </c>
      <c r="Y22" s="373">
        <v>12023</v>
      </c>
      <c r="Z22" s="373">
        <v>14841</v>
      </c>
      <c r="AA22" s="373">
        <v>16024</v>
      </c>
      <c r="AB22" s="373">
        <v>15620</v>
      </c>
      <c r="AC22" s="373">
        <v>15366</v>
      </c>
      <c r="AD22" s="373">
        <v>15814</v>
      </c>
      <c r="AE22" s="373">
        <v>16118</v>
      </c>
      <c r="AF22" s="373">
        <v>15468.72</v>
      </c>
      <c r="AG22" s="373">
        <v>15839</v>
      </c>
      <c r="AH22" s="373">
        <v>16841</v>
      </c>
      <c r="AI22" s="373">
        <v>21339.99</v>
      </c>
      <c r="AJ22" s="373">
        <v>23061</v>
      </c>
      <c r="AK22" s="373">
        <v>23158</v>
      </c>
      <c r="AL22" s="373">
        <v>23455</v>
      </c>
      <c r="AM22" s="373">
        <v>23541</v>
      </c>
      <c r="AN22" s="373">
        <v>30634</v>
      </c>
      <c r="AO22" s="373">
        <v>27829</v>
      </c>
      <c r="AP22" s="373">
        <v>29120.33</v>
      </c>
      <c r="AQ22" s="373">
        <v>28569.06</v>
      </c>
      <c r="AR22" s="373">
        <v>29375.66</v>
      </c>
      <c r="AS22" s="373">
        <v>26335</v>
      </c>
      <c r="AT22" s="373"/>
      <c r="AU22" s="373"/>
      <c r="AV22" s="373"/>
      <c r="AW22" s="373"/>
      <c r="AX22" s="373"/>
      <c r="AY22" s="373"/>
      <c r="AZ22" s="373"/>
      <c r="BA22" s="373"/>
      <c r="BB22" s="373"/>
      <c r="BC22" s="373"/>
      <c r="BD22" s="373"/>
      <c r="BE22" s="373"/>
      <c r="BF22" s="373"/>
      <c r="BG22" s="373"/>
      <c r="BH22" s="373"/>
      <c r="BI22" s="373"/>
      <c r="BJ22" s="373"/>
      <c r="BK22" s="373"/>
      <c r="BL22" s="373"/>
      <c r="BM22" s="373"/>
      <c r="BN22" s="373"/>
      <c r="BO22" s="373"/>
      <c r="BP22" s="373"/>
      <c r="BQ22" s="373"/>
      <c r="BR22" s="373"/>
      <c r="BS22" s="373"/>
      <c r="BT22" s="373"/>
      <c r="BU22" s="373"/>
      <c r="BV22" s="373"/>
      <c r="BW22" s="373"/>
      <c r="BX22" s="373"/>
      <c r="BY22" s="373"/>
      <c r="BZ22" s="373"/>
      <c r="CA22" s="373"/>
      <c r="CB22" s="373"/>
      <c r="CC22" s="373"/>
      <c r="CD22" s="373"/>
      <c r="CE22" s="373"/>
      <c r="CF22" s="373"/>
      <c r="CG22" s="373"/>
      <c r="CH22" s="373"/>
      <c r="CI22" s="373"/>
      <c r="CJ22" s="373"/>
      <c r="CK22" s="373"/>
      <c r="CL22" s="373"/>
      <c r="CM22" s="373"/>
      <c r="CN22" s="373"/>
      <c r="CO22" s="373"/>
      <c r="CP22" s="373"/>
      <c r="CQ22" s="373"/>
      <c r="CR22" s="373"/>
      <c r="CS22" s="373"/>
      <c r="CT22" s="373"/>
      <c r="CU22" s="373"/>
      <c r="CV22" s="373"/>
      <c r="CW22" s="373"/>
      <c r="CX22" s="373"/>
      <c r="CY22" s="373"/>
      <c r="CZ22" s="373"/>
      <c r="DA22" s="373"/>
      <c r="DB22" s="373"/>
      <c r="DC22" s="373"/>
      <c r="DD22" s="373"/>
      <c r="DE22" s="373"/>
      <c r="DF22" s="373"/>
      <c r="DG22" s="373"/>
      <c r="DH22" s="373"/>
      <c r="DI22" s="373"/>
      <c r="DJ22" s="373"/>
      <c r="DK22" s="373"/>
      <c r="DL22" s="373"/>
      <c r="DM22" s="373"/>
    </row>
    <row r="23" spans="1:117" s="616" customFormat="1" ht="15" customHeight="1" x14ac:dyDescent="0.2">
      <c r="A23" s="172" t="s">
        <v>591</v>
      </c>
      <c r="B23" s="634">
        <v>9662</v>
      </c>
      <c r="C23" s="634">
        <v>11193</v>
      </c>
      <c r="D23" s="634">
        <v>11393</v>
      </c>
      <c r="E23" s="634">
        <v>12926</v>
      </c>
      <c r="F23" s="634">
        <v>13317</v>
      </c>
      <c r="G23" s="634">
        <v>12984</v>
      </c>
      <c r="H23" s="634">
        <v>14045</v>
      </c>
      <c r="I23" s="634">
        <v>14267</v>
      </c>
      <c r="J23" s="634">
        <v>14540</v>
      </c>
      <c r="K23" s="634">
        <v>14465</v>
      </c>
      <c r="L23" s="634">
        <v>15758</v>
      </c>
      <c r="M23" s="634">
        <v>16026</v>
      </c>
      <c r="N23" s="634">
        <v>17382</v>
      </c>
      <c r="O23" s="634">
        <v>21059</v>
      </c>
      <c r="P23" s="634">
        <v>23964</v>
      </c>
      <c r="Q23" s="634">
        <v>25653</v>
      </c>
      <c r="R23" s="634">
        <v>26814</v>
      </c>
      <c r="S23" s="634">
        <v>28733</v>
      </c>
      <c r="T23" s="634">
        <v>30327</v>
      </c>
      <c r="U23" s="634">
        <v>30483</v>
      </c>
      <c r="V23" s="634">
        <v>30161</v>
      </c>
      <c r="W23" s="634">
        <v>29870</v>
      </c>
      <c r="X23" s="634">
        <v>29594</v>
      </c>
      <c r="Y23" s="634">
        <v>30362</v>
      </c>
      <c r="Z23" s="634">
        <v>32056</v>
      </c>
      <c r="AA23" s="634">
        <v>31794</v>
      </c>
      <c r="AB23" s="634">
        <v>32925</v>
      </c>
      <c r="AC23" s="634">
        <v>34193</v>
      </c>
      <c r="AD23" s="634">
        <v>34247</v>
      </c>
      <c r="AE23" s="634">
        <v>33628</v>
      </c>
      <c r="AF23" s="634">
        <v>34310</v>
      </c>
      <c r="AG23" s="634">
        <v>35294</v>
      </c>
      <c r="AH23" s="634">
        <v>34136</v>
      </c>
      <c r="AI23" s="634">
        <v>32594.539999999997</v>
      </c>
      <c r="AJ23" s="634">
        <v>30909</v>
      </c>
      <c r="AK23" s="634">
        <v>31740</v>
      </c>
      <c r="AL23" s="634">
        <v>29274</v>
      </c>
      <c r="AM23" s="634">
        <v>27440</v>
      </c>
      <c r="AN23" s="634">
        <v>30777.29</v>
      </c>
      <c r="AO23" s="634">
        <v>29261</v>
      </c>
      <c r="AP23" s="634">
        <v>27704.98</v>
      </c>
      <c r="AQ23" s="634">
        <v>26479.15</v>
      </c>
      <c r="AR23" s="634">
        <v>24956.240000000002</v>
      </c>
      <c r="AS23" s="634">
        <v>24261</v>
      </c>
      <c r="AT23" s="373"/>
      <c r="AU23" s="373"/>
      <c r="AV23" s="373"/>
      <c r="AW23" s="373"/>
      <c r="AX23" s="373"/>
      <c r="AY23" s="373"/>
      <c r="AZ23" s="373"/>
      <c r="BA23" s="373"/>
      <c r="BB23" s="373"/>
      <c r="BC23" s="373"/>
      <c r="BD23" s="373"/>
      <c r="BE23" s="373"/>
      <c r="BF23" s="373"/>
      <c r="BG23" s="373"/>
      <c r="BH23" s="373"/>
      <c r="BI23" s="373"/>
      <c r="BJ23" s="373"/>
      <c r="BK23" s="373"/>
      <c r="BL23" s="373"/>
      <c r="BM23" s="373"/>
      <c r="BN23" s="373"/>
      <c r="BO23" s="373"/>
      <c r="BP23" s="373"/>
      <c r="BQ23" s="373"/>
      <c r="BR23" s="373"/>
      <c r="BS23" s="373"/>
      <c r="BT23" s="373"/>
      <c r="BU23" s="373"/>
      <c r="BV23" s="373"/>
      <c r="BW23" s="373"/>
      <c r="BX23" s="373"/>
      <c r="BY23" s="373"/>
      <c r="BZ23" s="373"/>
      <c r="CA23" s="373"/>
      <c r="CB23" s="373"/>
      <c r="CC23" s="373"/>
      <c r="CD23" s="373"/>
      <c r="CE23" s="373"/>
      <c r="CF23" s="373"/>
      <c r="CG23" s="373"/>
      <c r="CH23" s="373"/>
      <c r="CI23" s="373"/>
      <c r="CJ23" s="373"/>
      <c r="CK23" s="373"/>
      <c r="CL23" s="373"/>
      <c r="CM23" s="373"/>
      <c r="CN23" s="373"/>
      <c r="CO23" s="373"/>
      <c r="CP23" s="373"/>
      <c r="CQ23" s="373"/>
      <c r="CR23" s="373"/>
      <c r="CS23" s="373"/>
      <c r="CT23" s="373"/>
      <c r="CU23" s="373"/>
      <c r="CV23" s="373"/>
      <c r="CW23" s="373"/>
      <c r="CX23" s="373"/>
      <c r="CY23" s="373"/>
      <c r="CZ23" s="373"/>
      <c r="DA23" s="373"/>
      <c r="DB23" s="373"/>
      <c r="DC23" s="373"/>
      <c r="DD23" s="373"/>
      <c r="DE23" s="373"/>
      <c r="DF23" s="373"/>
      <c r="DG23" s="373"/>
      <c r="DH23" s="373"/>
      <c r="DI23" s="373"/>
      <c r="DJ23" s="373"/>
      <c r="DK23" s="373"/>
      <c r="DL23" s="373"/>
      <c r="DM23" s="373"/>
    </row>
    <row r="24" spans="1:117" s="616" customFormat="1" ht="15" customHeight="1" x14ac:dyDescent="0.2">
      <c r="A24" s="139" t="s">
        <v>394</v>
      </c>
      <c r="B24" s="634">
        <v>1152</v>
      </c>
      <c r="C24" s="634">
        <v>1360</v>
      </c>
      <c r="D24" s="634">
        <v>1494</v>
      </c>
      <c r="E24" s="634">
        <v>1758</v>
      </c>
      <c r="F24" s="634">
        <v>1879</v>
      </c>
      <c r="G24" s="634">
        <v>1967</v>
      </c>
      <c r="H24" s="373">
        <v>2339</v>
      </c>
      <c r="I24" s="373">
        <v>2942</v>
      </c>
      <c r="J24" s="373">
        <v>3251</v>
      </c>
      <c r="K24" s="373">
        <v>3507</v>
      </c>
      <c r="L24" s="373">
        <v>4008</v>
      </c>
      <c r="M24" s="373">
        <v>4352</v>
      </c>
      <c r="N24" s="373">
        <v>4731</v>
      </c>
      <c r="O24" s="373">
        <v>5265</v>
      </c>
      <c r="P24" s="373">
        <v>5760</v>
      </c>
      <c r="Q24" s="373">
        <v>6173</v>
      </c>
      <c r="R24" s="373">
        <v>6682</v>
      </c>
      <c r="S24" s="373">
        <v>7383</v>
      </c>
      <c r="T24" s="373">
        <v>8026</v>
      </c>
      <c r="U24" s="373">
        <v>8969</v>
      </c>
      <c r="V24" s="373">
        <v>9788</v>
      </c>
      <c r="W24" s="373">
        <v>10808</v>
      </c>
      <c r="X24" s="373">
        <v>11824</v>
      </c>
      <c r="Y24" s="373">
        <v>12444</v>
      </c>
      <c r="Z24" s="373">
        <v>13079</v>
      </c>
      <c r="AA24" s="373">
        <v>13944</v>
      </c>
      <c r="AB24" s="373">
        <v>14831</v>
      </c>
      <c r="AC24" s="373">
        <v>15054</v>
      </c>
      <c r="AD24" s="373">
        <v>20097</v>
      </c>
      <c r="AE24" s="373">
        <v>20949</v>
      </c>
      <c r="AF24" s="373">
        <v>21749</v>
      </c>
      <c r="AG24" s="373">
        <v>22789</v>
      </c>
      <c r="AH24" s="373">
        <v>23537</v>
      </c>
      <c r="AI24" s="373">
        <v>24811</v>
      </c>
      <c r="AJ24" s="373">
        <v>25187</v>
      </c>
      <c r="AK24" s="373">
        <v>25757</v>
      </c>
      <c r="AL24" s="373">
        <v>25888</v>
      </c>
      <c r="AM24" s="373">
        <v>26390</v>
      </c>
      <c r="AN24" s="373">
        <v>28493</v>
      </c>
      <c r="AO24" s="373">
        <v>28771</v>
      </c>
      <c r="AP24" s="373">
        <v>27930</v>
      </c>
      <c r="AQ24" s="373">
        <v>27787</v>
      </c>
      <c r="AR24" s="373">
        <v>27060</v>
      </c>
      <c r="AS24" s="373">
        <v>26545</v>
      </c>
      <c r="AT24" s="373"/>
      <c r="AU24" s="373"/>
      <c r="AV24" s="373"/>
      <c r="AW24" s="373"/>
      <c r="AX24" s="373"/>
      <c r="AY24" s="373"/>
      <c r="AZ24" s="373"/>
      <c r="BA24" s="373"/>
      <c r="BB24" s="373"/>
      <c r="BC24" s="373"/>
      <c r="BD24" s="373"/>
      <c r="BE24" s="373"/>
      <c r="BF24" s="373"/>
      <c r="BG24" s="373"/>
      <c r="BH24" s="373"/>
      <c r="BI24" s="373"/>
      <c r="BJ24" s="373"/>
      <c r="BK24" s="373"/>
      <c r="BL24" s="373"/>
      <c r="BM24" s="373"/>
      <c r="BN24" s="373"/>
      <c r="BO24" s="373"/>
      <c r="BP24" s="373"/>
      <c r="BQ24" s="373"/>
      <c r="BR24" s="373"/>
      <c r="BS24" s="373"/>
      <c r="BT24" s="373"/>
      <c r="BU24" s="373"/>
      <c r="BV24" s="373"/>
      <c r="BW24" s="373"/>
      <c r="BX24" s="373"/>
      <c r="BY24" s="373"/>
      <c r="BZ24" s="373"/>
      <c r="CA24" s="373"/>
      <c r="CB24" s="373"/>
      <c r="CC24" s="373"/>
      <c r="CD24" s="373"/>
      <c r="CE24" s="373"/>
      <c r="CF24" s="373"/>
      <c r="CG24" s="373"/>
      <c r="CH24" s="373"/>
      <c r="CI24" s="373"/>
      <c r="CJ24" s="373"/>
      <c r="CK24" s="373"/>
      <c r="CL24" s="373"/>
      <c r="CM24" s="373"/>
      <c r="CN24" s="373"/>
      <c r="CO24" s="373"/>
      <c r="CP24" s="373"/>
      <c r="CQ24" s="373"/>
      <c r="CR24" s="373"/>
      <c r="CS24" s="373"/>
      <c r="CT24" s="373"/>
      <c r="CU24" s="373"/>
      <c r="CV24" s="373"/>
      <c r="CW24" s="373"/>
      <c r="CX24" s="373"/>
      <c r="CY24" s="373"/>
      <c r="CZ24" s="373"/>
      <c r="DA24" s="373"/>
      <c r="DB24" s="373"/>
      <c r="DC24" s="373"/>
      <c r="DD24" s="373"/>
      <c r="DE24" s="373"/>
      <c r="DF24" s="373"/>
      <c r="DG24" s="373"/>
      <c r="DH24" s="373"/>
      <c r="DI24" s="373"/>
      <c r="DJ24" s="373"/>
      <c r="DK24" s="373"/>
      <c r="DL24" s="373"/>
      <c r="DM24" s="373"/>
    </row>
    <row r="25" spans="1:117" s="616" customFormat="1" ht="15" customHeight="1" x14ac:dyDescent="0.2">
      <c r="A25" s="139" t="s">
        <v>592</v>
      </c>
      <c r="B25" s="634">
        <v>7344</v>
      </c>
      <c r="C25" s="634">
        <v>7428</v>
      </c>
      <c r="D25" s="634">
        <v>7284</v>
      </c>
      <c r="E25" s="634">
        <v>7643</v>
      </c>
      <c r="F25" s="634">
        <v>8243</v>
      </c>
      <c r="G25" s="634">
        <v>8898</v>
      </c>
      <c r="H25" s="373">
        <v>9231</v>
      </c>
      <c r="I25" s="373">
        <v>9155</v>
      </c>
      <c r="J25" s="373">
        <v>9134</v>
      </c>
      <c r="K25" s="373">
        <v>8847</v>
      </c>
      <c r="L25" s="373">
        <v>8619</v>
      </c>
      <c r="M25" s="373">
        <v>8369</v>
      </c>
      <c r="N25" s="373">
        <v>8226</v>
      </c>
      <c r="O25" s="373">
        <v>9010</v>
      </c>
      <c r="P25" s="373">
        <v>8607</v>
      </c>
      <c r="Q25" s="373">
        <v>8387</v>
      </c>
      <c r="R25" s="373">
        <v>9451</v>
      </c>
      <c r="S25" s="373">
        <v>10073</v>
      </c>
      <c r="T25" s="373">
        <v>9989</v>
      </c>
      <c r="U25" s="373">
        <v>9670</v>
      </c>
      <c r="V25" s="373">
        <v>10631</v>
      </c>
      <c r="W25" s="373">
        <v>10437</v>
      </c>
      <c r="X25" s="373">
        <v>10546</v>
      </c>
      <c r="Y25" s="373">
        <v>9793</v>
      </c>
      <c r="Z25" s="373">
        <v>10558</v>
      </c>
      <c r="AA25" s="373">
        <v>10540</v>
      </c>
      <c r="AB25" s="373">
        <v>10651</v>
      </c>
      <c r="AC25" s="373">
        <v>10410</v>
      </c>
      <c r="AD25" s="373">
        <v>11060</v>
      </c>
      <c r="AE25" s="373">
        <v>11054</v>
      </c>
      <c r="AF25" s="373">
        <v>10704.02</v>
      </c>
      <c r="AG25" s="373">
        <v>10462</v>
      </c>
      <c r="AH25" s="373">
        <v>11257</v>
      </c>
      <c r="AI25" s="373">
        <v>11107.71</v>
      </c>
      <c r="AJ25" s="373">
        <v>10391</v>
      </c>
      <c r="AK25" s="373">
        <v>9794</v>
      </c>
      <c r="AL25" s="373">
        <v>9901</v>
      </c>
      <c r="AM25" s="373">
        <v>9192</v>
      </c>
      <c r="AN25" s="373">
        <v>9577</v>
      </c>
      <c r="AO25" s="373">
        <v>8606</v>
      </c>
      <c r="AP25" s="373">
        <v>7797.71</v>
      </c>
      <c r="AQ25" s="373">
        <v>7195.15</v>
      </c>
      <c r="AR25" s="373">
        <v>6828.96</v>
      </c>
      <c r="AS25" s="373">
        <v>6566</v>
      </c>
      <c r="AT25" s="373"/>
      <c r="AU25" s="373"/>
      <c r="AV25" s="373"/>
      <c r="AW25" s="373"/>
      <c r="AX25" s="373"/>
      <c r="AY25" s="373"/>
      <c r="AZ25" s="373"/>
      <c r="BA25" s="373"/>
      <c r="BB25" s="373"/>
      <c r="BC25" s="373"/>
      <c r="BD25" s="373"/>
      <c r="BE25" s="373"/>
      <c r="BF25" s="373"/>
      <c r="BG25" s="373"/>
      <c r="BH25" s="373"/>
      <c r="BI25" s="373"/>
      <c r="BJ25" s="373"/>
      <c r="BK25" s="373"/>
      <c r="BL25" s="373"/>
      <c r="BM25" s="373"/>
      <c r="BN25" s="373"/>
      <c r="BO25" s="373"/>
      <c r="BP25" s="373"/>
      <c r="BQ25" s="373"/>
      <c r="BR25" s="373"/>
      <c r="BS25" s="373"/>
      <c r="BT25" s="373"/>
      <c r="BU25" s="373"/>
      <c r="BV25" s="373"/>
      <c r="BW25" s="373"/>
      <c r="BX25" s="373"/>
      <c r="BY25" s="373"/>
      <c r="BZ25" s="373"/>
      <c r="CA25" s="373"/>
      <c r="CB25" s="373"/>
      <c r="CC25" s="373"/>
      <c r="CD25" s="373"/>
      <c r="CE25" s="373"/>
      <c r="CF25" s="373"/>
      <c r="CG25" s="373"/>
      <c r="CH25" s="373"/>
      <c r="CI25" s="373"/>
      <c r="CJ25" s="373"/>
      <c r="CK25" s="373"/>
      <c r="CL25" s="373"/>
      <c r="CM25" s="373"/>
      <c r="CN25" s="373"/>
      <c r="CO25" s="373"/>
      <c r="CP25" s="373"/>
      <c r="CQ25" s="373"/>
      <c r="CR25" s="373"/>
      <c r="CS25" s="373"/>
      <c r="CT25" s="373"/>
      <c r="CU25" s="373"/>
      <c r="CV25" s="373"/>
      <c r="CW25" s="373"/>
      <c r="CX25" s="373"/>
      <c r="CY25" s="373"/>
      <c r="CZ25" s="373"/>
      <c r="DA25" s="373"/>
      <c r="DB25" s="373"/>
      <c r="DC25" s="373"/>
      <c r="DD25" s="373"/>
      <c r="DE25" s="373"/>
      <c r="DF25" s="373"/>
      <c r="DG25" s="373"/>
      <c r="DH25" s="373"/>
      <c r="DI25" s="373"/>
      <c r="DJ25" s="373"/>
      <c r="DK25" s="373"/>
      <c r="DL25" s="373"/>
      <c r="DM25" s="373"/>
    </row>
    <row r="26" spans="1:117" s="616" customFormat="1" ht="15" customHeight="1" x14ac:dyDescent="0.2">
      <c r="A26" s="139" t="s">
        <v>397</v>
      </c>
      <c r="B26" s="634">
        <v>6499</v>
      </c>
      <c r="C26" s="634">
        <v>7063</v>
      </c>
      <c r="D26" s="634">
        <v>7870</v>
      </c>
      <c r="E26" s="634">
        <v>9077</v>
      </c>
      <c r="F26" s="634">
        <v>10075</v>
      </c>
      <c r="G26" s="634">
        <v>11394</v>
      </c>
      <c r="H26" s="634">
        <v>12824</v>
      </c>
      <c r="I26" s="634">
        <v>13056</v>
      </c>
      <c r="J26" s="634">
        <v>12917</v>
      </c>
      <c r="K26" s="634">
        <v>12852</v>
      </c>
      <c r="L26" s="634">
        <v>12730</v>
      </c>
      <c r="M26" s="634">
        <v>12533</v>
      </c>
      <c r="N26" s="634">
        <v>12358</v>
      </c>
      <c r="O26" s="634">
        <v>12360</v>
      </c>
      <c r="P26" s="634">
        <v>12546</v>
      </c>
      <c r="Q26" s="634">
        <v>12593</v>
      </c>
      <c r="R26" s="634">
        <v>13025</v>
      </c>
      <c r="S26" s="634">
        <v>13590</v>
      </c>
      <c r="T26" s="634">
        <v>13831</v>
      </c>
      <c r="U26" s="634">
        <v>14050</v>
      </c>
      <c r="V26" s="634">
        <v>14216</v>
      </c>
      <c r="W26" s="634">
        <v>14141</v>
      </c>
      <c r="X26" s="634">
        <v>14300</v>
      </c>
      <c r="Y26" s="634">
        <v>14280</v>
      </c>
      <c r="Z26" s="634">
        <v>13931</v>
      </c>
      <c r="AA26" s="634">
        <v>13848</v>
      </c>
      <c r="AB26" s="634">
        <v>13614</v>
      </c>
      <c r="AC26" s="634">
        <v>13809</v>
      </c>
      <c r="AD26" s="634">
        <v>13730</v>
      </c>
      <c r="AE26" s="634">
        <v>13543</v>
      </c>
      <c r="AF26" s="634">
        <v>13247.93</v>
      </c>
      <c r="AG26" s="634">
        <v>13113</v>
      </c>
      <c r="AH26" s="634">
        <v>12648</v>
      </c>
      <c r="AI26" s="634">
        <v>11820.4</v>
      </c>
      <c r="AJ26" s="634">
        <v>10996</v>
      </c>
      <c r="AK26" s="634">
        <v>10446</v>
      </c>
      <c r="AL26" s="634">
        <v>9375</v>
      </c>
      <c r="AM26" s="634">
        <v>8439</v>
      </c>
      <c r="AN26" s="634">
        <v>9055</v>
      </c>
      <c r="AO26" s="634">
        <v>8091</v>
      </c>
      <c r="AP26" s="634">
        <v>7295</v>
      </c>
      <c r="AQ26" s="634">
        <v>7010</v>
      </c>
      <c r="AR26" s="634">
        <v>6933</v>
      </c>
      <c r="AS26" s="634">
        <v>7249</v>
      </c>
      <c r="AT26" s="373"/>
      <c r="AU26" s="373"/>
      <c r="AV26" s="373"/>
      <c r="AW26" s="373"/>
      <c r="AX26" s="373"/>
      <c r="AY26" s="373"/>
      <c r="AZ26" s="373"/>
      <c r="BA26" s="373"/>
      <c r="BB26" s="373"/>
      <c r="BC26" s="373"/>
      <c r="BD26" s="373"/>
      <c r="BE26" s="373"/>
      <c r="BF26" s="373"/>
      <c r="BG26" s="373"/>
      <c r="BH26" s="373"/>
      <c r="BI26" s="373"/>
      <c r="BJ26" s="373"/>
      <c r="BK26" s="373"/>
      <c r="BL26" s="373"/>
      <c r="BM26" s="373"/>
      <c r="BN26" s="373"/>
      <c r="BO26" s="373"/>
      <c r="BP26" s="373"/>
      <c r="BQ26" s="373"/>
      <c r="BR26" s="373"/>
      <c r="BS26" s="373"/>
      <c r="BT26" s="373"/>
      <c r="BU26" s="373"/>
      <c r="BV26" s="373"/>
      <c r="BW26" s="373"/>
      <c r="BX26" s="373"/>
      <c r="BY26" s="373"/>
      <c r="BZ26" s="373"/>
      <c r="CA26" s="373"/>
      <c r="CB26" s="373"/>
      <c r="CC26" s="373"/>
      <c r="CD26" s="373"/>
      <c r="CE26" s="373"/>
      <c r="CF26" s="373"/>
      <c r="CG26" s="373"/>
      <c r="CH26" s="373"/>
      <c r="CI26" s="373"/>
      <c r="CJ26" s="373"/>
      <c r="CK26" s="373"/>
      <c r="CL26" s="373"/>
      <c r="CM26" s="373"/>
      <c r="CN26" s="373"/>
      <c r="CO26" s="373"/>
      <c r="CP26" s="373"/>
      <c r="CQ26" s="373"/>
      <c r="CR26" s="373"/>
      <c r="CS26" s="373"/>
      <c r="CT26" s="373"/>
      <c r="CU26" s="373"/>
      <c r="CV26" s="373"/>
      <c r="CW26" s="373"/>
      <c r="CX26" s="373"/>
      <c r="CY26" s="373"/>
      <c r="CZ26" s="373"/>
      <c r="DA26" s="373"/>
      <c r="DB26" s="373"/>
      <c r="DC26" s="373"/>
      <c r="DD26" s="373"/>
      <c r="DE26" s="373"/>
      <c r="DF26" s="373"/>
      <c r="DG26" s="373"/>
      <c r="DH26" s="373"/>
      <c r="DI26" s="373"/>
      <c r="DJ26" s="373"/>
      <c r="DK26" s="373"/>
      <c r="DL26" s="373"/>
      <c r="DM26" s="373"/>
    </row>
    <row r="27" spans="1:117" s="616" customFormat="1" ht="15" customHeight="1" x14ac:dyDescent="0.2">
      <c r="A27" s="595" t="s">
        <v>594</v>
      </c>
      <c r="B27" s="634">
        <v>2641</v>
      </c>
      <c r="C27" s="634">
        <v>2692</v>
      </c>
      <c r="D27" s="634">
        <v>3168</v>
      </c>
      <c r="E27" s="634">
        <v>3132</v>
      </c>
      <c r="F27" s="634">
        <v>3190</v>
      </c>
      <c r="G27" s="634">
        <v>3656</v>
      </c>
      <c r="H27" s="373">
        <v>3734</v>
      </c>
      <c r="I27" s="373">
        <v>3593</v>
      </c>
      <c r="J27" s="373">
        <v>3661</v>
      </c>
      <c r="K27" s="373">
        <v>3698</v>
      </c>
      <c r="L27" s="373">
        <v>4019</v>
      </c>
      <c r="M27" s="373">
        <v>4122</v>
      </c>
      <c r="N27" s="373">
        <v>4144</v>
      </c>
      <c r="O27" s="373">
        <v>4215</v>
      </c>
      <c r="P27" s="373">
        <v>4487</v>
      </c>
      <c r="Q27" s="373">
        <v>4241</v>
      </c>
      <c r="R27" s="373">
        <v>4380</v>
      </c>
      <c r="S27" s="373">
        <v>4738</v>
      </c>
      <c r="T27" s="373">
        <v>4714</v>
      </c>
      <c r="U27" s="373">
        <v>4395</v>
      </c>
      <c r="V27" s="373">
        <v>4358</v>
      </c>
      <c r="W27" s="373">
        <v>4539</v>
      </c>
      <c r="X27" s="373">
        <v>4553</v>
      </c>
      <c r="Y27" s="373">
        <v>4653</v>
      </c>
      <c r="Z27" s="373">
        <v>4842</v>
      </c>
      <c r="AA27" s="373">
        <v>4953</v>
      </c>
      <c r="AB27" s="373">
        <v>4964</v>
      </c>
      <c r="AC27" s="373">
        <v>5258</v>
      </c>
      <c r="AD27" s="373">
        <v>6054</v>
      </c>
      <c r="AE27" s="373">
        <v>7376</v>
      </c>
      <c r="AF27" s="373">
        <v>7048</v>
      </c>
      <c r="AG27" s="373">
        <v>6657</v>
      </c>
      <c r="AH27" s="373">
        <v>6451</v>
      </c>
      <c r="AI27" s="373">
        <v>6059.34</v>
      </c>
      <c r="AJ27" s="373">
        <v>5588</v>
      </c>
      <c r="AK27" s="373">
        <v>5404</v>
      </c>
      <c r="AL27" s="373">
        <v>5309</v>
      </c>
      <c r="AM27" s="373">
        <v>5077</v>
      </c>
      <c r="AN27" s="373">
        <v>6462</v>
      </c>
      <c r="AO27" s="373">
        <v>6531</v>
      </c>
      <c r="AP27" s="373">
        <v>6642.61</v>
      </c>
      <c r="AQ27" s="373">
        <v>6718.9</v>
      </c>
      <c r="AR27" s="373">
        <v>5756.44</v>
      </c>
      <c r="AS27" s="373">
        <v>5618</v>
      </c>
      <c r="AT27" s="373"/>
      <c r="AU27" s="373"/>
      <c r="AV27" s="373"/>
      <c r="AW27" s="373"/>
      <c r="AX27" s="373"/>
      <c r="AY27" s="373"/>
      <c r="AZ27" s="373"/>
      <c r="BA27" s="373"/>
      <c r="BB27" s="373"/>
      <c r="BC27" s="373"/>
      <c r="BD27" s="373"/>
      <c r="BE27" s="373"/>
      <c r="BF27" s="373"/>
      <c r="BG27" s="373"/>
      <c r="BH27" s="373"/>
      <c r="BI27" s="373"/>
      <c r="BJ27" s="373"/>
      <c r="BK27" s="373"/>
      <c r="BL27" s="373"/>
      <c r="BM27" s="373"/>
      <c r="BN27" s="373"/>
      <c r="BO27" s="373"/>
      <c r="BP27" s="373"/>
      <c r="BQ27" s="373"/>
      <c r="BR27" s="373"/>
      <c r="BS27" s="373"/>
      <c r="BT27" s="373"/>
      <c r="BU27" s="373"/>
      <c r="BV27" s="373"/>
      <c r="BW27" s="373"/>
      <c r="BX27" s="373"/>
      <c r="BY27" s="373"/>
      <c r="BZ27" s="373"/>
      <c r="CA27" s="373"/>
      <c r="CB27" s="373"/>
      <c r="CC27" s="373"/>
      <c r="CD27" s="373"/>
      <c r="CE27" s="373"/>
      <c r="CF27" s="373"/>
      <c r="CG27" s="373"/>
      <c r="CH27" s="373"/>
      <c r="CI27" s="373"/>
      <c r="CJ27" s="373"/>
      <c r="CK27" s="373"/>
      <c r="CL27" s="373"/>
      <c r="CM27" s="373"/>
      <c r="CN27" s="373"/>
      <c r="CO27" s="373"/>
      <c r="CP27" s="373"/>
      <c r="CQ27" s="373"/>
      <c r="CR27" s="373"/>
      <c r="CS27" s="373"/>
      <c r="CT27" s="373"/>
      <c r="CU27" s="373"/>
      <c r="CV27" s="373"/>
      <c r="CW27" s="373"/>
      <c r="CX27" s="373"/>
      <c r="CY27" s="373"/>
      <c r="CZ27" s="373"/>
      <c r="DA27" s="373"/>
      <c r="DB27" s="373"/>
      <c r="DC27" s="373"/>
      <c r="DD27" s="373"/>
      <c r="DE27" s="373"/>
      <c r="DF27" s="373"/>
      <c r="DG27" s="373"/>
      <c r="DH27" s="373"/>
      <c r="DI27" s="373"/>
      <c r="DJ27" s="373"/>
      <c r="DK27" s="373"/>
      <c r="DL27" s="373"/>
      <c r="DM27" s="373"/>
    </row>
    <row r="28" spans="1:117" s="616" customFormat="1" ht="15" customHeight="1" x14ac:dyDescent="0.2">
      <c r="A28" s="172" t="s">
        <v>91</v>
      </c>
      <c r="B28" s="634">
        <v>10569</v>
      </c>
      <c r="C28" s="634">
        <v>10372</v>
      </c>
      <c r="D28" s="634">
        <v>10567</v>
      </c>
      <c r="E28" s="634">
        <v>12827</v>
      </c>
      <c r="F28" s="634">
        <v>11971</v>
      </c>
      <c r="G28" s="634">
        <v>12054</v>
      </c>
      <c r="H28" s="634">
        <v>12260</v>
      </c>
      <c r="I28" s="634">
        <v>13612</v>
      </c>
      <c r="J28" s="634">
        <v>12911</v>
      </c>
      <c r="K28" s="634">
        <v>13198</v>
      </c>
      <c r="L28" s="634">
        <v>13746</v>
      </c>
      <c r="M28" s="634">
        <v>15111</v>
      </c>
      <c r="N28" s="634">
        <v>14978</v>
      </c>
      <c r="O28" s="634">
        <v>14743</v>
      </c>
      <c r="P28" s="634">
        <v>15389</v>
      </c>
      <c r="Q28" s="634">
        <v>16894</v>
      </c>
      <c r="R28" s="634">
        <v>17062</v>
      </c>
      <c r="S28" s="634">
        <v>17975</v>
      </c>
      <c r="T28" s="634">
        <v>18887</v>
      </c>
      <c r="U28" s="634">
        <v>19783</v>
      </c>
      <c r="V28" s="634">
        <v>18573</v>
      </c>
      <c r="W28" s="634">
        <v>19863</v>
      </c>
      <c r="X28" s="634">
        <v>20103</v>
      </c>
      <c r="Y28" s="634">
        <v>20946</v>
      </c>
      <c r="Z28" s="634">
        <v>20779</v>
      </c>
      <c r="AA28" s="634">
        <v>21055</v>
      </c>
      <c r="AB28" s="634">
        <v>21149</v>
      </c>
      <c r="AC28" s="634">
        <v>21689</v>
      </c>
      <c r="AD28" s="634">
        <v>20620</v>
      </c>
      <c r="AE28" s="634">
        <v>19923</v>
      </c>
      <c r="AF28" s="634">
        <v>20154</v>
      </c>
      <c r="AG28" s="634">
        <v>21058</v>
      </c>
      <c r="AH28" s="634">
        <v>21279</v>
      </c>
      <c r="AI28" s="634">
        <v>21644.75999999998</v>
      </c>
      <c r="AJ28" s="634">
        <v>22445</v>
      </c>
      <c r="AK28" s="634">
        <v>23271</v>
      </c>
      <c r="AL28" s="634">
        <v>22100</v>
      </c>
      <c r="AM28" s="634">
        <v>21333</v>
      </c>
      <c r="AN28" s="634">
        <v>27068.999999999971</v>
      </c>
      <c r="AO28" s="634">
        <f>28891-16</f>
        <v>28875</v>
      </c>
      <c r="AP28" s="634">
        <v>27256</v>
      </c>
      <c r="AQ28" s="634">
        <f>26645-61+1</f>
        <v>26585</v>
      </c>
      <c r="AR28" s="634">
        <f>26748-40</f>
        <v>26708</v>
      </c>
      <c r="AS28" s="634">
        <f>106+194+563+925+2366+282+430+109+1767+2+2556+199+18889-1+733-3</f>
        <v>29117</v>
      </c>
      <c r="AT28" s="373"/>
      <c r="AU28" s="373"/>
      <c r="AV28" s="373"/>
      <c r="AW28" s="373"/>
      <c r="AX28" s="373"/>
      <c r="AY28" s="373"/>
      <c r="AZ28" s="373"/>
      <c r="BA28" s="373"/>
      <c r="BB28" s="373"/>
      <c r="BC28" s="373"/>
      <c r="BD28" s="373"/>
      <c r="BE28" s="373"/>
      <c r="BF28" s="373"/>
      <c r="BG28" s="373"/>
      <c r="BH28" s="373"/>
      <c r="BI28" s="373"/>
      <c r="BJ28" s="373"/>
      <c r="BK28" s="373"/>
      <c r="BL28" s="373"/>
      <c r="BM28" s="373"/>
      <c r="BN28" s="373"/>
      <c r="BO28" s="373"/>
      <c r="BP28" s="373"/>
      <c r="BQ28" s="373"/>
      <c r="BR28" s="373"/>
      <c r="BS28" s="373"/>
      <c r="BT28" s="373"/>
      <c r="BU28" s="373"/>
      <c r="BV28" s="373"/>
      <c r="BW28" s="373"/>
      <c r="BX28" s="373"/>
      <c r="BY28" s="373"/>
      <c r="BZ28" s="373"/>
      <c r="CA28" s="373"/>
      <c r="CB28" s="373"/>
      <c r="CC28" s="373"/>
      <c r="CD28" s="373"/>
      <c r="CE28" s="373"/>
      <c r="CF28" s="373"/>
      <c r="CG28" s="373"/>
      <c r="CH28" s="373"/>
      <c r="CI28" s="373"/>
      <c r="CJ28" s="373"/>
      <c r="CK28" s="373"/>
      <c r="CL28" s="373"/>
      <c r="CM28" s="373"/>
      <c r="CN28" s="373"/>
      <c r="CO28" s="373"/>
      <c r="CP28" s="373"/>
      <c r="CQ28" s="373"/>
      <c r="CR28" s="373"/>
      <c r="CS28" s="373"/>
      <c r="CT28" s="373"/>
      <c r="CU28" s="373"/>
      <c r="CV28" s="373"/>
      <c r="CW28" s="373"/>
      <c r="CX28" s="373"/>
      <c r="CY28" s="373"/>
      <c r="CZ28" s="373"/>
      <c r="DA28" s="373"/>
      <c r="DB28" s="373"/>
      <c r="DC28" s="373"/>
      <c r="DD28" s="373"/>
      <c r="DE28" s="373"/>
      <c r="DF28" s="373"/>
      <c r="DG28" s="373"/>
      <c r="DH28" s="373"/>
      <c r="DI28" s="373"/>
      <c r="DJ28" s="373"/>
      <c r="DK28" s="373"/>
      <c r="DL28" s="373"/>
      <c r="DM28" s="373"/>
    </row>
    <row r="29" spans="1:117" s="600" customFormat="1" ht="5.0999999999999996" customHeight="1" x14ac:dyDescent="0.2">
      <c r="A29" s="677"/>
      <c r="B29" s="207"/>
      <c r="C29" s="207"/>
      <c r="D29" s="207"/>
      <c r="E29" s="207"/>
      <c r="F29" s="207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AO29" s="600" t="s">
        <v>387</v>
      </c>
    </row>
    <row r="30" spans="1:117" s="624" customFormat="1" ht="15" customHeight="1" thickBot="1" x14ac:dyDescent="0.25">
      <c r="A30" s="621" t="s">
        <v>13</v>
      </c>
      <c r="B30" s="375">
        <f t="shared" ref="B30:AS30" si="5">B10+B19</f>
        <v>106236</v>
      </c>
      <c r="C30" s="375">
        <f t="shared" si="5"/>
        <v>113424</v>
      </c>
      <c r="D30" s="375">
        <f t="shared" si="5"/>
        <v>121594</v>
      </c>
      <c r="E30" s="375">
        <f t="shared" si="5"/>
        <v>137112</v>
      </c>
      <c r="F30" s="375">
        <f t="shared" si="5"/>
        <v>144329</v>
      </c>
      <c r="G30" s="375">
        <f t="shared" si="5"/>
        <v>154018</v>
      </c>
      <c r="H30" s="375">
        <f t="shared" si="5"/>
        <v>166406</v>
      </c>
      <c r="I30" s="375">
        <f t="shared" si="5"/>
        <v>179955</v>
      </c>
      <c r="J30" s="375">
        <f t="shared" si="5"/>
        <v>180048</v>
      </c>
      <c r="K30" s="375">
        <f t="shared" si="5"/>
        <v>179377</v>
      </c>
      <c r="L30" s="375">
        <f t="shared" si="5"/>
        <v>180969</v>
      </c>
      <c r="M30" s="375">
        <f t="shared" si="5"/>
        <v>190989</v>
      </c>
      <c r="N30" s="375">
        <f t="shared" si="5"/>
        <v>198107</v>
      </c>
      <c r="O30" s="375">
        <f t="shared" si="5"/>
        <v>208588</v>
      </c>
      <c r="P30" s="375">
        <f t="shared" si="5"/>
        <v>217274</v>
      </c>
      <c r="Q30" s="375">
        <f t="shared" si="5"/>
        <v>230614</v>
      </c>
      <c r="R30" s="375">
        <f t="shared" si="5"/>
        <v>239912</v>
      </c>
      <c r="S30" s="375">
        <f t="shared" si="5"/>
        <v>250834</v>
      </c>
      <c r="T30" s="375">
        <f t="shared" si="5"/>
        <v>260471</v>
      </c>
      <c r="U30" s="375">
        <f t="shared" si="5"/>
        <v>268668</v>
      </c>
      <c r="V30" s="375">
        <f t="shared" si="5"/>
        <v>269749</v>
      </c>
      <c r="W30" s="375">
        <f t="shared" si="5"/>
        <v>279166</v>
      </c>
      <c r="X30" s="375">
        <f t="shared" si="5"/>
        <v>284367</v>
      </c>
      <c r="Y30" s="375">
        <f t="shared" si="5"/>
        <v>290960</v>
      </c>
      <c r="Z30" s="375">
        <f t="shared" si="5"/>
        <v>297883</v>
      </c>
      <c r="AA30" s="375">
        <f t="shared" si="5"/>
        <v>305574</v>
      </c>
      <c r="AB30" s="375">
        <f t="shared" si="5"/>
        <v>311655</v>
      </c>
      <c r="AC30" s="375">
        <f t="shared" si="5"/>
        <v>323061</v>
      </c>
      <c r="AD30" s="375">
        <f t="shared" si="5"/>
        <v>328257</v>
      </c>
      <c r="AE30" s="375">
        <f t="shared" si="5"/>
        <v>328668</v>
      </c>
      <c r="AF30" s="375">
        <f t="shared" si="5"/>
        <v>335903.67</v>
      </c>
      <c r="AG30" s="375">
        <f t="shared" si="5"/>
        <v>346644</v>
      </c>
      <c r="AH30" s="375">
        <f t="shared" si="5"/>
        <v>352424</v>
      </c>
      <c r="AI30" s="375">
        <f t="shared" si="5"/>
        <v>355023.70999999996</v>
      </c>
      <c r="AJ30" s="375">
        <f t="shared" si="5"/>
        <v>366055</v>
      </c>
      <c r="AK30" s="375">
        <f t="shared" si="5"/>
        <v>366995</v>
      </c>
      <c r="AL30" s="375">
        <f t="shared" si="5"/>
        <v>353724</v>
      </c>
      <c r="AM30" s="375">
        <f t="shared" si="5"/>
        <v>341821</v>
      </c>
      <c r="AN30" s="375">
        <f t="shared" si="5"/>
        <v>399408.78</v>
      </c>
      <c r="AO30" s="375">
        <f t="shared" si="5"/>
        <v>392151</v>
      </c>
      <c r="AP30" s="375">
        <f t="shared" si="5"/>
        <v>381950.26</v>
      </c>
      <c r="AQ30" s="375">
        <f t="shared" si="5"/>
        <v>375654.45</v>
      </c>
      <c r="AR30" s="375">
        <f t="shared" si="5"/>
        <v>368898.93</v>
      </c>
      <c r="AS30" s="375">
        <f t="shared" si="5"/>
        <v>370079</v>
      </c>
      <c r="AT30" s="650"/>
      <c r="AU30" s="650"/>
      <c r="AV30" s="650"/>
      <c r="AW30" s="650"/>
      <c r="AX30" s="650"/>
      <c r="AY30" s="650"/>
      <c r="AZ30" s="650"/>
      <c r="BA30" s="650"/>
      <c r="BB30" s="650"/>
      <c r="BC30" s="650"/>
      <c r="BD30" s="650"/>
      <c r="BE30" s="650"/>
      <c r="BF30" s="650"/>
      <c r="BG30" s="650"/>
      <c r="BH30" s="650"/>
      <c r="BI30" s="650"/>
      <c r="BJ30" s="650"/>
      <c r="BK30" s="650"/>
      <c r="BL30" s="650"/>
      <c r="BM30" s="650"/>
      <c r="BN30" s="650"/>
      <c r="BO30" s="650"/>
      <c r="BP30" s="650"/>
      <c r="BQ30" s="650"/>
      <c r="BR30" s="650"/>
    </row>
    <row r="31" spans="1:117" ht="12.95" customHeight="1" thickTop="1" x14ac:dyDescent="0.2">
      <c r="A31" s="678"/>
      <c r="B31" s="679"/>
      <c r="C31" s="679"/>
      <c r="D31" s="679"/>
      <c r="E31" s="679"/>
      <c r="F31" s="679"/>
      <c r="G31" s="679"/>
      <c r="H31" s="679"/>
      <c r="I31" s="679"/>
      <c r="J31" s="679"/>
      <c r="K31" s="679"/>
      <c r="L31" s="679"/>
      <c r="M31" s="679"/>
      <c r="N31" s="679"/>
      <c r="O31" s="679"/>
      <c r="P31" s="679"/>
      <c r="Q31" s="679"/>
      <c r="R31" s="679"/>
      <c r="S31" s="679"/>
      <c r="T31" s="679"/>
      <c r="U31" s="679"/>
      <c r="V31" s="679"/>
      <c r="W31" s="679"/>
      <c r="X31" s="679"/>
      <c r="Y31" s="679"/>
      <c r="Z31" s="679"/>
      <c r="AA31" s="679"/>
      <c r="AB31" s="679"/>
      <c r="AC31" s="679"/>
      <c r="AD31" s="680"/>
      <c r="AE31" s="680"/>
      <c r="AF31" s="681"/>
      <c r="AG31" s="681"/>
      <c r="AH31" s="681"/>
      <c r="AI31" s="681"/>
      <c r="AJ31" s="681"/>
      <c r="AK31" s="681"/>
      <c r="AL31" s="682"/>
      <c r="AM31" s="682"/>
      <c r="AN31" s="682"/>
      <c r="AO31" s="682"/>
      <c r="AP31" s="682"/>
      <c r="AQ31" s="682"/>
      <c r="AR31" s="682"/>
      <c r="AS31" s="682"/>
    </row>
    <row r="32" spans="1:117" s="654" customFormat="1" ht="12" x14ac:dyDescent="0.2">
      <c r="A32" s="678"/>
      <c r="B32" s="678"/>
      <c r="C32" s="678"/>
      <c r="D32" s="678"/>
      <c r="E32" s="678"/>
      <c r="F32" s="678"/>
      <c r="G32" s="678"/>
      <c r="H32" s="678"/>
      <c r="I32" s="678"/>
      <c r="J32" s="678"/>
      <c r="K32" s="678"/>
      <c r="L32" s="678"/>
      <c r="M32" s="678"/>
      <c r="N32" s="678"/>
      <c r="O32" s="678"/>
      <c r="P32" s="678"/>
      <c r="Q32" s="678"/>
      <c r="R32" s="678"/>
      <c r="S32" s="678"/>
      <c r="T32" s="678"/>
      <c r="U32" s="678"/>
      <c r="V32" s="678"/>
      <c r="W32" s="678"/>
      <c r="X32" s="678"/>
      <c r="Y32" s="678"/>
      <c r="Z32" s="678"/>
      <c r="AA32" s="678"/>
      <c r="AB32" s="678"/>
      <c r="AC32" s="678"/>
      <c r="AD32" s="678"/>
      <c r="AE32" s="678"/>
      <c r="AF32" s="678"/>
      <c r="AG32" s="678"/>
      <c r="AH32" s="678"/>
      <c r="AI32" s="678"/>
      <c r="AJ32" s="678"/>
      <c r="AK32" s="678"/>
      <c r="AL32" s="678"/>
      <c r="AM32" s="678"/>
      <c r="AN32" s="678"/>
      <c r="AO32" s="678"/>
      <c r="AP32" s="678"/>
      <c r="AQ32" s="678"/>
      <c r="AR32" s="678"/>
      <c r="AS32" s="678"/>
    </row>
    <row r="33" spans="1:45" s="654" customFormat="1" ht="12.95" customHeight="1" x14ac:dyDescent="0.2">
      <c r="A33" s="653"/>
      <c r="B33" s="653"/>
      <c r="C33" s="653"/>
      <c r="D33" s="653"/>
      <c r="E33" s="653"/>
      <c r="F33" s="653"/>
      <c r="G33" s="653"/>
      <c r="H33" s="653"/>
      <c r="I33" s="653"/>
      <c r="J33" s="653"/>
      <c r="K33" s="653"/>
      <c r="L33" s="653"/>
      <c r="M33" s="653"/>
      <c r="N33" s="653"/>
      <c r="O33" s="653"/>
      <c r="P33" s="653"/>
      <c r="Q33" s="653"/>
      <c r="R33" s="653"/>
      <c r="S33" s="653"/>
      <c r="T33" s="653"/>
      <c r="U33" s="653"/>
      <c r="V33" s="653"/>
      <c r="W33" s="653"/>
      <c r="X33" s="653"/>
      <c r="Y33" s="653"/>
      <c r="Z33" s="653"/>
      <c r="AA33" s="653"/>
      <c r="AB33" s="653"/>
      <c r="AC33" s="653"/>
      <c r="AD33" s="653"/>
      <c r="AE33" s="653"/>
      <c r="AF33" s="653"/>
      <c r="AG33" s="653"/>
      <c r="AH33" s="653"/>
      <c r="AI33" s="653"/>
      <c r="AJ33" s="653"/>
      <c r="AK33" s="653"/>
      <c r="AL33" s="653"/>
      <c r="AM33" s="653"/>
      <c r="AN33" s="653"/>
      <c r="AO33" s="653"/>
      <c r="AP33" s="653"/>
      <c r="AQ33" s="653"/>
      <c r="AR33" s="653"/>
      <c r="AS33" s="653"/>
    </row>
    <row r="34" spans="1:45" s="654" customFormat="1" ht="11.25" x14ac:dyDescent="0.2">
      <c r="A34" s="653"/>
      <c r="B34" s="653"/>
      <c r="C34" s="653"/>
      <c r="D34" s="653"/>
      <c r="E34" s="653"/>
      <c r="F34" s="653"/>
      <c r="G34" s="653"/>
      <c r="H34" s="653"/>
      <c r="I34" s="653"/>
      <c r="J34" s="653"/>
      <c r="K34" s="653"/>
      <c r="L34" s="653"/>
      <c r="M34" s="653"/>
      <c r="N34" s="653"/>
      <c r="O34" s="653"/>
      <c r="P34" s="653"/>
      <c r="Q34" s="653"/>
      <c r="R34" s="653"/>
      <c r="S34" s="653"/>
      <c r="T34" s="653"/>
      <c r="U34" s="653"/>
      <c r="V34" s="653"/>
      <c r="W34" s="653"/>
      <c r="X34" s="653"/>
      <c r="Y34" s="653"/>
      <c r="Z34" s="653"/>
      <c r="AA34" s="653"/>
      <c r="AB34" s="653"/>
      <c r="AC34" s="653"/>
      <c r="AD34" s="638"/>
      <c r="AE34" s="638"/>
      <c r="AF34" s="638"/>
      <c r="AG34" s="638"/>
      <c r="AH34" s="638"/>
      <c r="AI34" s="638"/>
      <c r="AJ34" s="638"/>
      <c r="AK34" s="638"/>
    </row>
    <row r="35" spans="1:45" s="654" customFormat="1" ht="11.25" x14ac:dyDescent="0.2">
      <c r="A35" s="653"/>
      <c r="B35" s="653"/>
      <c r="C35" s="653"/>
      <c r="D35" s="653"/>
      <c r="E35" s="653"/>
      <c r="F35" s="653"/>
      <c r="G35" s="653"/>
      <c r="H35" s="653"/>
      <c r="I35" s="653"/>
      <c r="J35" s="653"/>
      <c r="K35" s="653"/>
      <c r="L35" s="653"/>
      <c r="M35" s="653"/>
      <c r="N35" s="653"/>
      <c r="O35" s="653"/>
      <c r="P35" s="653"/>
      <c r="Q35" s="653"/>
      <c r="R35" s="653"/>
      <c r="S35" s="653"/>
      <c r="T35" s="653"/>
      <c r="U35" s="653"/>
      <c r="V35" s="653"/>
      <c r="W35" s="653"/>
      <c r="X35" s="653"/>
      <c r="Y35" s="653"/>
      <c r="Z35" s="653"/>
      <c r="AA35" s="653"/>
      <c r="AB35" s="653"/>
      <c r="AC35" s="653"/>
      <c r="AD35" s="653"/>
      <c r="AE35" s="653"/>
      <c r="AF35" s="653"/>
      <c r="AG35" s="653"/>
      <c r="AH35" s="653"/>
      <c r="AI35" s="653"/>
      <c r="AJ35" s="653"/>
      <c r="AK35" s="653"/>
    </row>
    <row r="36" spans="1:45" s="654" customFormat="1" ht="11.25" x14ac:dyDescent="0.2">
      <c r="A36" s="653"/>
      <c r="B36" s="653"/>
      <c r="C36" s="653"/>
      <c r="D36" s="653"/>
      <c r="E36" s="653"/>
      <c r="F36" s="653"/>
      <c r="G36" s="653"/>
      <c r="H36" s="653"/>
      <c r="I36" s="653"/>
      <c r="J36" s="653"/>
      <c r="K36" s="653"/>
      <c r="L36" s="653"/>
      <c r="M36" s="653"/>
      <c r="N36" s="653"/>
      <c r="O36" s="653"/>
      <c r="P36" s="653"/>
      <c r="Q36" s="653"/>
      <c r="R36" s="653"/>
      <c r="S36" s="653"/>
      <c r="T36" s="653"/>
      <c r="U36" s="653"/>
      <c r="V36" s="653"/>
      <c r="W36" s="653"/>
      <c r="X36" s="653"/>
      <c r="Y36" s="653"/>
      <c r="Z36" s="653"/>
      <c r="AA36" s="653"/>
      <c r="AB36" s="653"/>
      <c r="AC36" s="653"/>
      <c r="AD36" s="653"/>
      <c r="AE36" s="653"/>
      <c r="AF36" s="653"/>
      <c r="AG36" s="653"/>
      <c r="AH36" s="653"/>
      <c r="AI36" s="653"/>
      <c r="AJ36" s="653"/>
      <c r="AK36" s="653"/>
    </row>
    <row r="37" spans="1:45" s="654" customFormat="1" ht="11.25" x14ac:dyDescent="0.2">
      <c r="A37" s="653"/>
      <c r="B37" s="653"/>
      <c r="C37" s="653"/>
      <c r="D37" s="653"/>
      <c r="E37" s="653"/>
      <c r="F37" s="653"/>
      <c r="G37" s="653"/>
      <c r="H37" s="653"/>
      <c r="I37" s="653"/>
      <c r="J37" s="653"/>
      <c r="K37" s="653"/>
      <c r="L37" s="653"/>
      <c r="M37" s="653"/>
      <c r="N37" s="653"/>
      <c r="O37" s="653"/>
      <c r="P37" s="653"/>
      <c r="Q37" s="653"/>
      <c r="R37" s="653"/>
      <c r="S37" s="653"/>
      <c r="T37" s="653"/>
      <c r="U37" s="653"/>
      <c r="V37" s="653"/>
      <c r="W37" s="653"/>
      <c r="X37" s="653"/>
      <c r="Y37" s="653"/>
      <c r="Z37" s="653"/>
      <c r="AA37" s="653"/>
      <c r="AB37" s="653"/>
      <c r="AC37" s="653"/>
      <c r="AD37" s="653"/>
      <c r="AE37" s="653"/>
      <c r="AF37" s="653"/>
      <c r="AG37" s="653"/>
      <c r="AH37" s="653"/>
      <c r="AI37" s="653"/>
      <c r="AJ37" s="653"/>
      <c r="AK37" s="653"/>
    </row>
    <row r="38" spans="1:45" s="654" customFormat="1" ht="11.25" x14ac:dyDescent="0.2">
      <c r="A38" s="653"/>
      <c r="B38" s="653"/>
      <c r="C38" s="653"/>
      <c r="D38" s="653"/>
      <c r="E38" s="653"/>
      <c r="F38" s="653"/>
      <c r="G38" s="653"/>
      <c r="H38" s="653"/>
      <c r="I38" s="653"/>
      <c r="J38" s="653"/>
      <c r="K38" s="653"/>
      <c r="L38" s="653"/>
      <c r="M38" s="653"/>
      <c r="N38" s="653"/>
      <c r="O38" s="653"/>
      <c r="P38" s="653"/>
      <c r="Q38" s="653"/>
      <c r="R38" s="653"/>
      <c r="S38" s="653"/>
      <c r="T38" s="653"/>
      <c r="U38" s="653"/>
      <c r="V38" s="653"/>
      <c r="W38" s="653"/>
      <c r="X38" s="653"/>
      <c r="Y38" s="653"/>
      <c r="Z38" s="653"/>
      <c r="AA38" s="653"/>
      <c r="AB38" s="653"/>
      <c r="AC38" s="653"/>
      <c r="AD38" s="653"/>
      <c r="AE38" s="653"/>
      <c r="AF38" s="653"/>
      <c r="AG38" s="653"/>
      <c r="AH38" s="653"/>
      <c r="AI38" s="653"/>
      <c r="AJ38" s="653"/>
      <c r="AK38" s="653"/>
    </row>
    <row r="39" spans="1:45" s="654" customFormat="1" ht="11.25" x14ac:dyDescent="0.2">
      <c r="A39" s="653"/>
      <c r="B39" s="653"/>
      <c r="C39" s="653"/>
      <c r="D39" s="653"/>
      <c r="E39" s="653"/>
      <c r="F39" s="653"/>
      <c r="G39" s="653"/>
      <c r="H39" s="653"/>
      <c r="I39" s="653"/>
      <c r="J39" s="653"/>
      <c r="K39" s="653"/>
      <c r="L39" s="653"/>
      <c r="M39" s="653"/>
      <c r="N39" s="653"/>
      <c r="O39" s="653"/>
      <c r="P39" s="653"/>
      <c r="Q39" s="653"/>
      <c r="R39" s="653"/>
      <c r="S39" s="653"/>
      <c r="T39" s="653"/>
      <c r="U39" s="653"/>
      <c r="V39" s="653"/>
      <c r="W39" s="653"/>
      <c r="X39" s="653"/>
      <c r="Y39" s="653"/>
      <c r="Z39" s="653"/>
      <c r="AA39" s="653"/>
      <c r="AB39" s="653"/>
      <c r="AC39" s="653"/>
      <c r="AD39" s="653"/>
      <c r="AE39" s="653"/>
      <c r="AF39" s="653"/>
      <c r="AG39" s="653"/>
      <c r="AH39" s="653"/>
      <c r="AI39" s="653"/>
      <c r="AJ39" s="653"/>
      <c r="AK39" s="653"/>
    </row>
    <row r="40" spans="1:45" s="654" customFormat="1" ht="11.25" x14ac:dyDescent="0.2">
      <c r="A40" s="653"/>
      <c r="B40" s="653"/>
      <c r="C40" s="653"/>
      <c r="D40" s="653"/>
      <c r="E40" s="653"/>
      <c r="F40" s="653"/>
      <c r="G40" s="653"/>
      <c r="H40" s="653"/>
      <c r="I40" s="653"/>
      <c r="J40" s="653"/>
      <c r="K40" s="653"/>
      <c r="L40" s="653"/>
      <c r="M40" s="653"/>
      <c r="N40" s="653"/>
      <c r="O40" s="653"/>
      <c r="P40" s="653"/>
      <c r="Q40" s="653"/>
      <c r="R40" s="653"/>
      <c r="S40" s="653"/>
      <c r="T40" s="653"/>
      <c r="U40" s="653"/>
      <c r="V40" s="653"/>
      <c r="W40" s="653"/>
      <c r="X40" s="653"/>
      <c r="Y40" s="653"/>
      <c r="Z40" s="653"/>
      <c r="AA40" s="653"/>
      <c r="AB40" s="653"/>
      <c r="AC40" s="653"/>
      <c r="AD40" s="653"/>
      <c r="AE40" s="653"/>
      <c r="AF40" s="653"/>
      <c r="AG40" s="653"/>
      <c r="AH40" s="653"/>
      <c r="AI40" s="653"/>
      <c r="AJ40" s="653"/>
      <c r="AK40" s="653"/>
    </row>
    <row r="41" spans="1:45" s="654" customFormat="1" ht="11.25" x14ac:dyDescent="0.2">
      <c r="A41" s="653"/>
      <c r="B41" s="653"/>
      <c r="C41" s="653"/>
      <c r="D41" s="653"/>
      <c r="E41" s="653"/>
      <c r="F41" s="653"/>
      <c r="G41" s="653"/>
      <c r="H41" s="653"/>
      <c r="I41" s="653"/>
      <c r="J41" s="653"/>
      <c r="K41" s="653"/>
      <c r="L41" s="653"/>
      <c r="M41" s="653"/>
      <c r="N41" s="653"/>
      <c r="O41" s="653"/>
      <c r="P41" s="653"/>
      <c r="Q41" s="653"/>
      <c r="R41" s="653"/>
      <c r="S41" s="653"/>
      <c r="T41" s="653"/>
      <c r="U41" s="653"/>
      <c r="V41" s="653"/>
      <c r="W41" s="653"/>
      <c r="X41" s="653"/>
      <c r="Y41" s="653"/>
      <c r="Z41" s="653"/>
      <c r="AA41" s="653"/>
      <c r="AB41" s="653"/>
      <c r="AC41" s="653"/>
      <c r="AD41" s="653"/>
      <c r="AE41" s="653"/>
      <c r="AF41" s="653"/>
      <c r="AG41" s="653"/>
      <c r="AH41" s="653"/>
      <c r="AI41" s="653"/>
      <c r="AJ41" s="653"/>
      <c r="AK41" s="653"/>
    </row>
    <row r="42" spans="1:45" s="654" customFormat="1" ht="11.25" x14ac:dyDescent="0.2">
      <c r="A42" s="653"/>
      <c r="B42" s="653"/>
      <c r="C42" s="653"/>
      <c r="D42" s="653"/>
      <c r="E42" s="653"/>
      <c r="F42" s="653"/>
      <c r="G42" s="653"/>
      <c r="H42" s="653"/>
      <c r="I42" s="653"/>
      <c r="J42" s="653"/>
      <c r="K42" s="653"/>
      <c r="L42" s="653"/>
      <c r="M42" s="653"/>
      <c r="N42" s="653"/>
      <c r="O42" s="653"/>
      <c r="P42" s="653"/>
      <c r="Q42" s="653"/>
      <c r="R42" s="653"/>
      <c r="S42" s="653"/>
      <c r="T42" s="653"/>
      <c r="U42" s="653"/>
      <c r="V42" s="653"/>
      <c r="W42" s="653"/>
      <c r="X42" s="653"/>
      <c r="Y42" s="653"/>
      <c r="Z42" s="653"/>
      <c r="AA42" s="653"/>
      <c r="AB42" s="653"/>
      <c r="AC42" s="653"/>
      <c r="AD42" s="653"/>
      <c r="AE42" s="653"/>
      <c r="AF42" s="653"/>
      <c r="AG42" s="653"/>
      <c r="AH42" s="653"/>
      <c r="AI42" s="653"/>
      <c r="AJ42" s="653"/>
      <c r="AK42" s="653"/>
    </row>
    <row r="43" spans="1:45" s="654" customFormat="1" ht="11.25" x14ac:dyDescent="0.2">
      <c r="A43" s="653"/>
      <c r="B43" s="653"/>
      <c r="C43" s="653"/>
      <c r="D43" s="653"/>
      <c r="E43" s="653"/>
      <c r="F43" s="653"/>
      <c r="G43" s="653"/>
      <c r="H43" s="653"/>
      <c r="I43" s="653"/>
      <c r="J43" s="653"/>
      <c r="K43" s="653"/>
      <c r="L43" s="653"/>
      <c r="M43" s="653"/>
      <c r="N43" s="653"/>
      <c r="O43" s="653"/>
      <c r="P43" s="653"/>
      <c r="Q43" s="653"/>
      <c r="R43" s="653"/>
      <c r="S43" s="653"/>
      <c r="T43" s="653"/>
      <c r="U43" s="653"/>
      <c r="V43" s="653"/>
      <c r="W43" s="653"/>
      <c r="X43" s="653"/>
      <c r="Y43" s="653"/>
      <c r="Z43" s="653"/>
      <c r="AA43" s="653"/>
      <c r="AB43" s="653"/>
      <c r="AC43" s="653"/>
      <c r="AD43" s="653"/>
      <c r="AE43" s="653"/>
      <c r="AF43" s="653"/>
      <c r="AG43" s="653"/>
      <c r="AH43" s="653"/>
      <c r="AI43" s="653"/>
      <c r="AJ43" s="653"/>
      <c r="AK43" s="653"/>
    </row>
    <row r="44" spans="1:45" s="654" customFormat="1" ht="11.25" x14ac:dyDescent="0.2">
      <c r="A44" s="653"/>
      <c r="B44" s="653"/>
      <c r="C44" s="653"/>
      <c r="D44" s="653"/>
      <c r="E44" s="653"/>
      <c r="F44" s="653"/>
      <c r="G44" s="653"/>
      <c r="H44" s="653"/>
      <c r="I44" s="653"/>
      <c r="J44" s="653"/>
      <c r="K44" s="653"/>
      <c r="L44" s="653"/>
      <c r="M44" s="653"/>
      <c r="N44" s="653"/>
      <c r="O44" s="653"/>
      <c r="P44" s="653"/>
      <c r="Q44" s="653"/>
      <c r="R44" s="653"/>
      <c r="S44" s="653"/>
      <c r="T44" s="653"/>
      <c r="U44" s="653"/>
      <c r="V44" s="653"/>
      <c r="W44" s="653"/>
      <c r="X44" s="653"/>
      <c r="Y44" s="653"/>
      <c r="Z44" s="653"/>
      <c r="AA44" s="653"/>
      <c r="AB44" s="653"/>
      <c r="AC44" s="653"/>
      <c r="AD44" s="653"/>
      <c r="AE44" s="653"/>
      <c r="AF44" s="653"/>
      <c r="AG44" s="653"/>
      <c r="AH44" s="653"/>
      <c r="AI44" s="653"/>
      <c r="AJ44" s="653"/>
      <c r="AK44" s="653"/>
    </row>
    <row r="45" spans="1:45" s="654" customFormat="1" ht="11.25" x14ac:dyDescent="0.2">
      <c r="A45" s="653"/>
      <c r="B45" s="653"/>
      <c r="C45" s="653"/>
      <c r="D45" s="653"/>
      <c r="E45" s="653"/>
      <c r="F45" s="653"/>
      <c r="G45" s="653"/>
      <c r="H45" s="653"/>
      <c r="I45" s="653"/>
      <c r="J45" s="653"/>
      <c r="K45" s="653"/>
      <c r="L45" s="653"/>
      <c r="M45" s="653"/>
      <c r="N45" s="653"/>
      <c r="O45" s="653"/>
      <c r="P45" s="653"/>
      <c r="Q45" s="653"/>
      <c r="R45" s="653"/>
      <c r="S45" s="653"/>
      <c r="T45" s="653"/>
      <c r="U45" s="653"/>
      <c r="V45" s="653"/>
      <c r="W45" s="653"/>
      <c r="X45" s="653"/>
      <c r="Y45" s="653"/>
      <c r="Z45" s="653"/>
      <c r="AA45" s="653"/>
      <c r="AB45" s="653"/>
      <c r="AC45" s="653"/>
      <c r="AD45" s="653"/>
      <c r="AE45" s="653"/>
      <c r="AF45" s="653"/>
      <c r="AG45" s="653"/>
      <c r="AH45" s="653"/>
      <c r="AI45" s="653"/>
      <c r="AJ45" s="653"/>
      <c r="AK45" s="653"/>
    </row>
    <row r="46" spans="1:45" s="654" customFormat="1" ht="11.25" x14ac:dyDescent="0.2">
      <c r="A46" s="653"/>
      <c r="B46" s="653"/>
      <c r="C46" s="653"/>
      <c r="D46" s="653"/>
      <c r="E46" s="653"/>
      <c r="F46" s="653"/>
      <c r="G46" s="653"/>
      <c r="H46" s="653"/>
      <c r="I46" s="653"/>
      <c r="J46" s="653"/>
      <c r="K46" s="653"/>
      <c r="L46" s="653"/>
      <c r="M46" s="653"/>
      <c r="N46" s="653"/>
      <c r="O46" s="653"/>
      <c r="P46" s="653"/>
      <c r="Q46" s="653"/>
      <c r="R46" s="653"/>
      <c r="S46" s="653"/>
      <c r="T46" s="653"/>
      <c r="U46" s="653"/>
      <c r="V46" s="653"/>
      <c r="W46" s="653"/>
      <c r="X46" s="653"/>
      <c r="Y46" s="653"/>
      <c r="Z46" s="653"/>
      <c r="AA46" s="653"/>
      <c r="AB46" s="653"/>
      <c r="AC46" s="653"/>
      <c r="AD46" s="653"/>
      <c r="AE46" s="653"/>
      <c r="AF46" s="653"/>
      <c r="AG46" s="653"/>
      <c r="AH46" s="653"/>
      <c r="AI46" s="653"/>
      <c r="AJ46" s="653"/>
      <c r="AK46" s="653"/>
    </row>
    <row r="47" spans="1:45" s="654" customFormat="1" ht="11.25" x14ac:dyDescent="0.2">
      <c r="A47" s="653"/>
      <c r="B47" s="653"/>
      <c r="C47" s="653"/>
      <c r="D47" s="653"/>
      <c r="E47" s="653"/>
      <c r="F47" s="653"/>
      <c r="G47" s="653"/>
      <c r="H47" s="653"/>
      <c r="I47" s="653"/>
      <c r="J47" s="653"/>
      <c r="K47" s="653"/>
      <c r="L47" s="653"/>
      <c r="M47" s="653"/>
      <c r="N47" s="653"/>
      <c r="O47" s="653"/>
      <c r="P47" s="653"/>
      <c r="Q47" s="653"/>
      <c r="R47" s="653"/>
      <c r="S47" s="653"/>
      <c r="T47" s="653"/>
      <c r="U47" s="653"/>
      <c r="V47" s="653"/>
      <c r="W47" s="653"/>
      <c r="X47" s="653"/>
      <c r="Y47" s="653"/>
      <c r="Z47" s="653"/>
      <c r="AA47" s="653"/>
      <c r="AB47" s="653"/>
      <c r="AC47" s="653"/>
      <c r="AD47" s="653"/>
      <c r="AE47" s="653"/>
      <c r="AF47" s="653"/>
      <c r="AG47" s="653"/>
      <c r="AH47" s="653"/>
      <c r="AI47" s="653"/>
      <c r="AJ47" s="653"/>
      <c r="AK47" s="653"/>
    </row>
    <row r="48" spans="1:45" s="654" customFormat="1" ht="11.25" x14ac:dyDescent="0.2">
      <c r="A48" s="653"/>
      <c r="B48" s="653"/>
      <c r="C48" s="653"/>
      <c r="D48" s="653"/>
      <c r="E48" s="653"/>
      <c r="F48" s="653"/>
      <c r="G48" s="653"/>
      <c r="H48" s="653"/>
      <c r="I48" s="653"/>
      <c r="J48" s="653"/>
      <c r="K48" s="653"/>
      <c r="L48" s="653"/>
      <c r="M48" s="653"/>
      <c r="N48" s="653"/>
      <c r="O48" s="653"/>
      <c r="P48" s="653"/>
      <c r="Q48" s="653"/>
      <c r="R48" s="653"/>
      <c r="S48" s="653"/>
      <c r="T48" s="653"/>
      <c r="U48" s="653"/>
      <c r="V48" s="653"/>
      <c r="W48" s="653"/>
      <c r="X48" s="653"/>
      <c r="Y48" s="653"/>
      <c r="Z48" s="653"/>
      <c r="AA48" s="653"/>
      <c r="AB48" s="653"/>
      <c r="AC48" s="653"/>
      <c r="AD48" s="653"/>
      <c r="AE48" s="653"/>
      <c r="AF48" s="653"/>
      <c r="AG48" s="653"/>
      <c r="AH48" s="653"/>
      <c r="AI48" s="653"/>
      <c r="AJ48" s="653"/>
      <c r="AK48" s="653"/>
    </row>
    <row r="49" spans="1:37" s="654" customFormat="1" ht="11.25" x14ac:dyDescent="0.2">
      <c r="A49" s="653"/>
      <c r="B49" s="653"/>
      <c r="C49" s="653"/>
      <c r="D49" s="653"/>
      <c r="E49" s="653"/>
      <c r="F49" s="653"/>
      <c r="G49" s="653"/>
      <c r="H49" s="653"/>
      <c r="I49" s="653"/>
      <c r="J49" s="653"/>
      <c r="K49" s="653"/>
      <c r="L49" s="653"/>
      <c r="M49" s="653"/>
      <c r="N49" s="653"/>
      <c r="O49" s="653"/>
      <c r="P49" s="653"/>
      <c r="Q49" s="653"/>
      <c r="R49" s="653"/>
      <c r="S49" s="653"/>
      <c r="T49" s="653"/>
      <c r="U49" s="653"/>
      <c r="V49" s="653"/>
      <c r="W49" s="653"/>
      <c r="X49" s="653"/>
      <c r="Y49" s="653"/>
      <c r="Z49" s="653"/>
      <c r="AA49" s="653"/>
      <c r="AB49" s="653"/>
      <c r="AC49" s="653"/>
      <c r="AD49" s="653"/>
      <c r="AE49" s="653"/>
      <c r="AF49" s="653"/>
      <c r="AG49" s="653"/>
      <c r="AH49" s="653"/>
      <c r="AI49" s="653"/>
      <c r="AJ49" s="653"/>
      <c r="AK49" s="653"/>
    </row>
    <row r="50" spans="1:37" s="654" customFormat="1" ht="11.25" x14ac:dyDescent="0.2">
      <c r="A50" s="653"/>
      <c r="B50" s="653"/>
      <c r="C50" s="653"/>
      <c r="D50" s="653"/>
      <c r="E50" s="653"/>
      <c r="F50" s="653"/>
      <c r="G50" s="653"/>
      <c r="H50" s="653"/>
      <c r="I50" s="653"/>
      <c r="J50" s="653"/>
      <c r="K50" s="653"/>
      <c r="L50" s="653"/>
      <c r="M50" s="653"/>
      <c r="N50" s="653"/>
      <c r="O50" s="653"/>
      <c r="P50" s="653"/>
      <c r="Q50" s="653"/>
      <c r="R50" s="653"/>
      <c r="S50" s="653"/>
      <c r="T50" s="653"/>
      <c r="U50" s="653"/>
      <c r="V50" s="653"/>
      <c r="W50" s="653"/>
      <c r="X50" s="653"/>
      <c r="Y50" s="653"/>
      <c r="Z50" s="653"/>
      <c r="AA50" s="653"/>
      <c r="AB50" s="653"/>
      <c r="AC50" s="653"/>
      <c r="AD50" s="653"/>
      <c r="AE50" s="653"/>
      <c r="AF50" s="653"/>
      <c r="AG50" s="653"/>
      <c r="AH50" s="653"/>
      <c r="AI50" s="653"/>
      <c r="AJ50" s="653"/>
      <c r="AK50" s="653"/>
    </row>
    <row r="51" spans="1:37" s="654" customFormat="1" ht="11.25" x14ac:dyDescent="0.2">
      <c r="A51" s="653"/>
      <c r="B51" s="653"/>
      <c r="C51" s="653"/>
      <c r="D51" s="653"/>
      <c r="E51" s="653"/>
      <c r="F51" s="653"/>
      <c r="G51" s="653"/>
      <c r="H51" s="653"/>
      <c r="I51" s="653"/>
      <c r="J51" s="653"/>
      <c r="K51" s="653"/>
      <c r="L51" s="653"/>
      <c r="M51" s="653"/>
      <c r="N51" s="653"/>
      <c r="O51" s="653"/>
      <c r="P51" s="653"/>
      <c r="Q51" s="653"/>
      <c r="R51" s="653"/>
      <c r="S51" s="653"/>
      <c r="T51" s="653"/>
      <c r="U51" s="653"/>
      <c r="V51" s="653"/>
      <c r="W51" s="653"/>
      <c r="X51" s="653"/>
      <c r="Y51" s="653"/>
      <c r="Z51" s="653"/>
      <c r="AA51" s="653"/>
      <c r="AB51" s="653"/>
      <c r="AC51" s="653"/>
      <c r="AD51" s="653"/>
      <c r="AE51" s="653"/>
      <c r="AF51" s="653"/>
      <c r="AG51" s="653"/>
      <c r="AH51" s="653"/>
      <c r="AI51" s="653"/>
      <c r="AJ51" s="653"/>
      <c r="AK51" s="653"/>
    </row>
    <row r="52" spans="1:37" s="654" customFormat="1" ht="11.25" x14ac:dyDescent="0.2">
      <c r="A52" s="653"/>
      <c r="B52" s="653"/>
      <c r="C52" s="653"/>
      <c r="D52" s="653"/>
      <c r="E52" s="653"/>
      <c r="F52" s="653"/>
      <c r="G52" s="653"/>
      <c r="H52" s="653"/>
      <c r="I52" s="653"/>
      <c r="J52" s="653"/>
      <c r="K52" s="653"/>
      <c r="L52" s="653"/>
      <c r="M52" s="653"/>
      <c r="N52" s="653"/>
      <c r="O52" s="653"/>
      <c r="P52" s="653"/>
      <c r="Q52" s="653"/>
      <c r="R52" s="653"/>
      <c r="S52" s="653"/>
      <c r="T52" s="653"/>
      <c r="U52" s="653"/>
      <c r="V52" s="653"/>
      <c r="W52" s="653"/>
      <c r="X52" s="653"/>
      <c r="Y52" s="653"/>
      <c r="Z52" s="653"/>
      <c r="AA52" s="653"/>
      <c r="AB52" s="653"/>
      <c r="AC52" s="653"/>
      <c r="AD52" s="653"/>
      <c r="AE52" s="653"/>
      <c r="AF52" s="653"/>
      <c r="AG52" s="653"/>
      <c r="AH52" s="653"/>
      <c r="AI52" s="653"/>
      <c r="AJ52" s="653"/>
      <c r="AK52" s="653"/>
    </row>
    <row r="53" spans="1:37" s="654" customFormat="1" ht="11.25" x14ac:dyDescent="0.2">
      <c r="A53" s="653"/>
      <c r="B53" s="653"/>
      <c r="C53" s="653"/>
      <c r="D53" s="653"/>
      <c r="E53" s="653"/>
      <c r="F53" s="653"/>
      <c r="G53" s="653"/>
      <c r="H53" s="653"/>
      <c r="I53" s="653"/>
      <c r="J53" s="653"/>
      <c r="K53" s="653"/>
      <c r="L53" s="653"/>
      <c r="M53" s="653"/>
      <c r="N53" s="653"/>
      <c r="O53" s="653"/>
      <c r="P53" s="653"/>
      <c r="Q53" s="653"/>
      <c r="R53" s="653"/>
      <c r="S53" s="653"/>
      <c r="T53" s="653"/>
      <c r="U53" s="653"/>
      <c r="V53" s="653"/>
      <c r="W53" s="653"/>
      <c r="X53" s="653"/>
      <c r="Y53" s="653"/>
      <c r="Z53" s="653"/>
      <c r="AA53" s="653"/>
      <c r="AB53" s="653"/>
      <c r="AC53" s="653"/>
      <c r="AD53" s="653"/>
      <c r="AE53" s="653"/>
      <c r="AF53" s="653"/>
      <c r="AG53" s="653"/>
      <c r="AH53" s="653"/>
      <c r="AI53" s="653"/>
      <c r="AJ53" s="653"/>
      <c r="AK53" s="653"/>
    </row>
    <row r="54" spans="1:37" s="654" customFormat="1" ht="11.25" x14ac:dyDescent="0.2">
      <c r="A54" s="653"/>
      <c r="B54" s="653"/>
      <c r="C54" s="653"/>
      <c r="D54" s="653"/>
      <c r="E54" s="653"/>
      <c r="F54" s="653"/>
      <c r="G54" s="653"/>
      <c r="H54" s="653"/>
      <c r="I54" s="653"/>
      <c r="J54" s="653"/>
      <c r="K54" s="653"/>
      <c r="L54" s="653"/>
      <c r="M54" s="653"/>
      <c r="N54" s="653"/>
      <c r="O54" s="653"/>
      <c r="P54" s="653"/>
      <c r="Q54" s="653"/>
      <c r="R54" s="653"/>
      <c r="S54" s="653"/>
      <c r="T54" s="653"/>
      <c r="U54" s="653"/>
      <c r="V54" s="653"/>
      <c r="W54" s="653"/>
      <c r="X54" s="653"/>
      <c r="Y54" s="653"/>
      <c r="Z54" s="653"/>
      <c r="AA54" s="653"/>
      <c r="AB54" s="653"/>
      <c r="AC54" s="653"/>
      <c r="AD54" s="653"/>
      <c r="AE54" s="653"/>
      <c r="AF54" s="653"/>
      <c r="AG54" s="653"/>
      <c r="AH54" s="653"/>
      <c r="AI54" s="653"/>
      <c r="AJ54" s="653"/>
      <c r="AK54" s="653"/>
    </row>
    <row r="55" spans="1:37" s="654" customFormat="1" ht="11.25" x14ac:dyDescent="0.2">
      <c r="A55" s="653"/>
      <c r="B55" s="653"/>
      <c r="C55" s="653"/>
      <c r="D55" s="653"/>
      <c r="E55" s="653"/>
      <c r="F55" s="653"/>
      <c r="G55" s="653"/>
      <c r="H55" s="653"/>
      <c r="I55" s="653"/>
      <c r="J55" s="653"/>
      <c r="K55" s="653"/>
      <c r="L55" s="653"/>
      <c r="M55" s="653"/>
      <c r="N55" s="653"/>
      <c r="O55" s="653"/>
      <c r="P55" s="653"/>
      <c r="Q55" s="653"/>
      <c r="R55" s="653"/>
      <c r="S55" s="653"/>
      <c r="T55" s="653"/>
      <c r="U55" s="653"/>
      <c r="V55" s="653"/>
      <c r="W55" s="653"/>
      <c r="X55" s="653"/>
      <c r="Y55" s="653"/>
      <c r="Z55" s="653"/>
      <c r="AA55" s="653"/>
      <c r="AB55" s="653"/>
      <c r="AC55" s="653"/>
      <c r="AD55" s="653"/>
      <c r="AE55" s="653"/>
      <c r="AF55" s="653"/>
      <c r="AG55" s="653"/>
      <c r="AH55" s="653"/>
      <c r="AI55" s="653"/>
      <c r="AJ55" s="653"/>
      <c r="AK55" s="653"/>
    </row>
    <row r="56" spans="1:37" s="654" customFormat="1" ht="11.25" x14ac:dyDescent="0.2">
      <c r="A56" s="653"/>
      <c r="B56" s="653"/>
      <c r="C56" s="653"/>
      <c r="D56" s="653"/>
      <c r="E56" s="653"/>
      <c r="F56" s="653"/>
      <c r="G56" s="653"/>
      <c r="H56" s="653"/>
      <c r="I56" s="653"/>
      <c r="J56" s="653"/>
      <c r="K56" s="653"/>
      <c r="L56" s="653"/>
      <c r="M56" s="653"/>
      <c r="N56" s="653"/>
      <c r="O56" s="653"/>
      <c r="P56" s="653"/>
      <c r="Q56" s="653"/>
      <c r="R56" s="653"/>
      <c r="S56" s="653"/>
      <c r="T56" s="653"/>
      <c r="U56" s="653"/>
      <c r="V56" s="653"/>
      <c r="W56" s="653"/>
      <c r="X56" s="653"/>
      <c r="Y56" s="653"/>
      <c r="Z56" s="653"/>
      <c r="AA56" s="653"/>
      <c r="AB56" s="653"/>
      <c r="AC56" s="653"/>
      <c r="AD56" s="653"/>
      <c r="AE56" s="653"/>
      <c r="AF56" s="653"/>
      <c r="AG56" s="653"/>
      <c r="AH56" s="653"/>
      <c r="AI56" s="653"/>
      <c r="AJ56" s="653"/>
      <c r="AK56" s="653"/>
    </row>
    <row r="57" spans="1:37" s="654" customFormat="1" ht="11.25" x14ac:dyDescent="0.2">
      <c r="A57" s="653"/>
      <c r="B57" s="653"/>
      <c r="C57" s="653"/>
      <c r="D57" s="653"/>
      <c r="E57" s="653"/>
      <c r="F57" s="653"/>
      <c r="G57" s="653"/>
      <c r="H57" s="653"/>
      <c r="I57" s="653"/>
      <c r="J57" s="653"/>
      <c r="K57" s="653"/>
      <c r="L57" s="653"/>
      <c r="M57" s="653"/>
      <c r="N57" s="653"/>
      <c r="O57" s="653"/>
      <c r="P57" s="653"/>
      <c r="Q57" s="653"/>
      <c r="R57" s="653"/>
      <c r="S57" s="653"/>
      <c r="T57" s="653"/>
      <c r="U57" s="653"/>
      <c r="V57" s="653"/>
      <c r="W57" s="653"/>
      <c r="X57" s="653"/>
      <c r="Y57" s="653"/>
      <c r="Z57" s="653"/>
      <c r="AA57" s="653"/>
      <c r="AB57" s="653"/>
      <c r="AC57" s="653"/>
      <c r="AD57" s="653"/>
      <c r="AE57" s="653"/>
      <c r="AF57" s="653"/>
      <c r="AG57" s="653"/>
      <c r="AH57" s="653"/>
      <c r="AI57" s="653"/>
      <c r="AJ57" s="653"/>
      <c r="AK57" s="653"/>
    </row>
    <row r="58" spans="1:37" s="654" customFormat="1" ht="11.25" x14ac:dyDescent="0.2">
      <c r="A58" s="653"/>
      <c r="B58" s="653"/>
      <c r="C58" s="653"/>
      <c r="D58" s="653"/>
      <c r="E58" s="653"/>
      <c r="F58" s="653"/>
      <c r="G58" s="653"/>
      <c r="H58" s="653"/>
      <c r="I58" s="653"/>
      <c r="J58" s="653"/>
      <c r="K58" s="653"/>
      <c r="L58" s="653"/>
      <c r="M58" s="653"/>
      <c r="N58" s="653"/>
      <c r="O58" s="653"/>
      <c r="P58" s="653"/>
      <c r="Q58" s="653"/>
      <c r="R58" s="653"/>
      <c r="S58" s="653"/>
      <c r="T58" s="653"/>
      <c r="U58" s="653"/>
      <c r="V58" s="653"/>
      <c r="W58" s="653"/>
      <c r="X58" s="653"/>
      <c r="Y58" s="653"/>
      <c r="Z58" s="653"/>
      <c r="AA58" s="653"/>
      <c r="AB58" s="653"/>
      <c r="AC58" s="653"/>
      <c r="AD58" s="653"/>
      <c r="AE58" s="653"/>
      <c r="AF58" s="653"/>
      <c r="AG58" s="653"/>
      <c r="AH58" s="653"/>
      <c r="AI58" s="653"/>
      <c r="AJ58" s="653"/>
      <c r="AK58" s="653"/>
    </row>
    <row r="59" spans="1:37" s="654" customFormat="1" ht="11.25" x14ac:dyDescent="0.2">
      <c r="A59" s="653"/>
      <c r="B59" s="653"/>
      <c r="C59" s="653"/>
      <c r="D59" s="653"/>
      <c r="E59" s="653"/>
      <c r="F59" s="653"/>
      <c r="G59" s="653"/>
      <c r="H59" s="653"/>
      <c r="I59" s="653"/>
      <c r="J59" s="653"/>
      <c r="K59" s="653"/>
      <c r="L59" s="653"/>
      <c r="M59" s="653"/>
      <c r="N59" s="653"/>
      <c r="O59" s="653"/>
      <c r="P59" s="653"/>
      <c r="Q59" s="653"/>
      <c r="R59" s="653"/>
      <c r="S59" s="653"/>
      <c r="T59" s="653"/>
      <c r="U59" s="653"/>
      <c r="V59" s="653"/>
      <c r="W59" s="653"/>
      <c r="X59" s="653"/>
      <c r="Y59" s="653"/>
      <c r="Z59" s="653"/>
      <c r="AA59" s="653"/>
      <c r="AB59" s="653"/>
      <c r="AC59" s="653"/>
      <c r="AD59" s="653"/>
      <c r="AE59" s="653"/>
      <c r="AF59" s="653"/>
      <c r="AG59" s="653"/>
      <c r="AH59" s="653"/>
      <c r="AI59" s="653"/>
      <c r="AJ59" s="653"/>
      <c r="AK59" s="653"/>
    </row>
    <row r="60" spans="1:37" s="654" customFormat="1" ht="11.25" x14ac:dyDescent="0.2">
      <c r="A60" s="653"/>
      <c r="B60" s="653"/>
      <c r="C60" s="653"/>
      <c r="D60" s="653"/>
      <c r="E60" s="653"/>
      <c r="F60" s="653"/>
      <c r="G60" s="653"/>
      <c r="H60" s="653"/>
      <c r="I60" s="653"/>
      <c r="J60" s="653"/>
      <c r="K60" s="653"/>
      <c r="L60" s="653"/>
      <c r="M60" s="653"/>
      <c r="N60" s="653"/>
      <c r="O60" s="653"/>
      <c r="P60" s="653"/>
      <c r="Q60" s="653"/>
      <c r="R60" s="653"/>
      <c r="S60" s="653"/>
      <c r="T60" s="653"/>
      <c r="U60" s="653"/>
      <c r="V60" s="653"/>
      <c r="W60" s="653"/>
      <c r="X60" s="653"/>
      <c r="Y60" s="653"/>
      <c r="Z60" s="653"/>
      <c r="AA60" s="653"/>
      <c r="AB60" s="653"/>
      <c r="AC60" s="653"/>
      <c r="AD60" s="653"/>
      <c r="AE60" s="653"/>
      <c r="AF60" s="653"/>
      <c r="AG60" s="653"/>
      <c r="AH60" s="653"/>
      <c r="AI60" s="653"/>
      <c r="AJ60" s="653"/>
      <c r="AK60" s="653"/>
    </row>
    <row r="61" spans="1:37" s="654" customFormat="1" ht="11.25" x14ac:dyDescent="0.2">
      <c r="A61" s="653"/>
      <c r="B61" s="653"/>
      <c r="C61" s="653"/>
      <c r="D61" s="653"/>
      <c r="E61" s="653"/>
      <c r="F61" s="653"/>
      <c r="G61" s="653"/>
      <c r="H61" s="653"/>
      <c r="I61" s="653"/>
      <c r="J61" s="653"/>
      <c r="K61" s="653"/>
      <c r="L61" s="653"/>
      <c r="M61" s="653"/>
      <c r="N61" s="653"/>
      <c r="O61" s="653"/>
      <c r="P61" s="653"/>
      <c r="Q61" s="653"/>
      <c r="R61" s="653"/>
      <c r="S61" s="653"/>
      <c r="T61" s="653"/>
      <c r="U61" s="653"/>
      <c r="V61" s="653"/>
      <c r="W61" s="653"/>
      <c r="X61" s="653"/>
      <c r="Y61" s="653"/>
      <c r="Z61" s="653"/>
      <c r="AA61" s="653"/>
      <c r="AB61" s="653"/>
      <c r="AC61" s="653"/>
      <c r="AD61" s="653"/>
      <c r="AE61" s="653"/>
      <c r="AF61" s="653"/>
      <c r="AG61" s="653"/>
      <c r="AH61" s="653"/>
      <c r="AI61" s="653"/>
      <c r="AJ61" s="653"/>
      <c r="AK61" s="653"/>
    </row>
    <row r="62" spans="1:37" s="654" customFormat="1" ht="11.25" x14ac:dyDescent="0.2">
      <c r="A62" s="653"/>
      <c r="B62" s="653"/>
      <c r="C62" s="653"/>
      <c r="D62" s="653"/>
      <c r="E62" s="653"/>
      <c r="F62" s="653"/>
      <c r="G62" s="653"/>
      <c r="H62" s="653"/>
      <c r="I62" s="653"/>
      <c r="J62" s="653"/>
      <c r="K62" s="653"/>
      <c r="L62" s="653"/>
      <c r="M62" s="653"/>
      <c r="N62" s="653"/>
      <c r="O62" s="653"/>
      <c r="P62" s="653"/>
      <c r="Q62" s="653"/>
      <c r="R62" s="653"/>
      <c r="S62" s="653"/>
      <c r="T62" s="653"/>
      <c r="U62" s="653"/>
      <c r="V62" s="653"/>
      <c r="W62" s="653"/>
      <c r="X62" s="653"/>
      <c r="Y62" s="653"/>
      <c r="Z62" s="653"/>
      <c r="AA62" s="653"/>
      <c r="AB62" s="653"/>
      <c r="AC62" s="653"/>
      <c r="AD62" s="653"/>
      <c r="AE62" s="653"/>
      <c r="AF62" s="653"/>
      <c r="AG62" s="653"/>
      <c r="AH62" s="653"/>
      <c r="AI62" s="653"/>
      <c r="AJ62" s="653"/>
      <c r="AK62" s="653"/>
    </row>
    <row r="63" spans="1:37" s="654" customFormat="1" ht="11.25" x14ac:dyDescent="0.2">
      <c r="A63" s="653"/>
      <c r="B63" s="653"/>
      <c r="C63" s="653"/>
      <c r="D63" s="653"/>
      <c r="E63" s="653"/>
      <c r="F63" s="653"/>
      <c r="G63" s="653"/>
      <c r="H63" s="653"/>
      <c r="I63" s="653"/>
      <c r="J63" s="653"/>
      <c r="K63" s="653"/>
      <c r="L63" s="653"/>
      <c r="M63" s="653"/>
      <c r="N63" s="653"/>
      <c r="O63" s="653"/>
      <c r="P63" s="653"/>
      <c r="Q63" s="653"/>
      <c r="R63" s="653"/>
      <c r="S63" s="653"/>
      <c r="T63" s="653"/>
      <c r="U63" s="653"/>
      <c r="V63" s="653"/>
      <c r="W63" s="653"/>
      <c r="X63" s="653"/>
      <c r="Y63" s="653"/>
      <c r="Z63" s="653"/>
      <c r="AA63" s="653"/>
      <c r="AB63" s="653"/>
      <c r="AC63" s="653"/>
      <c r="AD63" s="653"/>
      <c r="AE63" s="653"/>
      <c r="AF63" s="653"/>
      <c r="AG63" s="653"/>
      <c r="AH63" s="653"/>
      <c r="AI63" s="653"/>
      <c r="AJ63" s="653"/>
      <c r="AK63" s="653"/>
    </row>
    <row r="64" spans="1:37" s="654" customFormat="1" ht="11.25" x14ac:dyDescent="0.2">
      <c r="A64" s="653"/>
      <c r="B64" s="653"/>
      <c r="C64" s="653"/>
      <c r="D64" s="653"/>
      <c r="E64" s="653"/>
      <c r="F64" s="653"/>
      <c r="G64" s="653"/>
      <c r="H64" s="653"/>
      <c r="I64" s="653"/>
      <c r="J64" s="653"/>
      <c r="K64" s="653"/>
      <c r="L64" s="653"/>
      <c r="M64" s="653"/>
      <c r="N64" s="653"/>
      <c r="O64" s="653"/>
      <c r="P64" s="653"/>
      <c r="Q64" s="653"/>
      <c r="R64" s="653"/>
      <c r="S64" s="653"/>
      <c r="T64" s="653"/>
      <c r="U64" s="653"/>
      <c r="V64" s="653"/>
      <c r="W64" s="653"/>
      <c r="X64" s="653"/>
      <c r="Y64" s="653"/>
      <c r="Z64" s="653"/>
      <c r="AA64" s="653"/>
      <c r="AB64" s="653"/>
      <c r="AC64" s="653"/>
      <c r="AD64" s="653"/>
      <c r="AE64" s="653"/>
      <c r="AF64" s="653"/>
      <c r="AG64" s="653"/>
      <c r="AH64" s="653"/>
      <c r="AI64" s="653"/>
      <c r="AJ64" s="653"/>
      <c r="AK64" s="653"/>
    </row>
    <row r="65" spans="1:37" s="654" customFormat="1" ht="11.25" x14ac:dyDescent="0.2">
      <c r="A65" s="653"/>
      <c r="B65" s="653"/>
      <c r="C65" s="653"/>
      <c r="D65" s="653"/>
      <c r="E65" s="653"/>
      <c r="F65" s="653"/>
      <c r="G65" s="653"/>
      <c r="H65" s="653"/>
      <c r="I65" s="653"/>
      <c r="J65" s="653"/>
      <c r="K65" s="653"/>
      <c r="L65" s="653"/>
      <c r="M65" s="653"/>
      <c r="N65" s="653"/>
      <c r="O65" s="653"/>
      <c r="P65" s="653"/>
      <c r="Q65" s="653"/>
      <c r="R65" s="653"/>
      <c r="S65" s="653"/>
      <c r="T65" s="653"/>
      <c r="U65" s="653"/>
      <c r="V65" s="653"/>
      <c r="W65" s="653"/>
      <c r="X65" s="653"/>
      <c r="Y65" s="653"/>
      <c r="Z65" s="653"/>
      <c r="AA65" s="653"/>
      <c r="AB65" s="653"/>
      <c r="AC65" s="653"/>
      <c r="AD65" s="653"/>
      <c r="AE65" s="653"/>
      <c r="AF65" s="653"/>
      <c r="AG65" s="653"/>
      <c r="AH65" s="653"/>
      <c r="AI65" s="653"/>
      <c r="AJ65" s="653"/>
      <c r="AK65" s="653"/>
    </row>
    <row r="66" spans="1:37" s="654" customFormat="1" ht="11.25" x14ac:dyDescent="0.2">
      <c r="A66" s="653"/>
      <c r="B66" s="653"/>
      <c r="C66" s="653"/>
      <c r="D66" s="653"/>
      <c r="E66" s="653"/>
      <c r="F66" s="653"/>
      <c r="G66" s="653"/>
      <c r="H66" s="653"/>
      <c r="I66" s="653"/>
      <c r="J66" s="653"/>
      <c r="K66" s="653"/>
      <c r="L66" s="653"/>
      <c r="M66" s="653"/>
      <c r="N66" s="653"/>
      <c r="O66" s="653"/>
      <c r="P66" s="653"/>
      <c r="Q66" s="653"/>
      <c r="R66" s="653"/>
      <c r="S66" s="653"/>
      <c r="T66" s="653"/>
      <c r="U66" s="653"/>
      <c r="V66" s="653"/>
      <c r="W66" s="653"/>
      <c r="X66" s="653"/>
      <c r="Y66" s="653"/>
      <c r="Z66" s="653"/>
      <c r="AA66" s="653"/>
      <c r="AB66" s="653"/>
      <c r="AC66" s="653"/>
      <c r="AD66" s="653"/>
      <c r="AE66" s="653"/>
      <c r="AF66" s="653"/>
      <c r="AG66" s="653"/>
      <c r="AH66" s="653"/>
      <c r="AI66" s="653"/>
      <c r="AJ66" s="653"/>
      <c r="AK66" s="653"/>
    </row>
    <row r="67" spans="1:37" s="654" customFormat="1" ht="11.25" x14ac:dyDescent="0.2">
      <c r="A67" s="653"/>
      <c r="B67" s="653"/>
      <c r="C67" s="653"/>
      <c r="D67" s="653"/>
      <c r="E67" s="653"/>
      <c r="F67" s="653"/>
      <c r="G67" s="653"/>
      <c r="H67" s="653"/>
      <c r="I67" s="653"/>
      <c r="J67" s="653"/>
      <c r="K67" s="653"/>
      <c r="L67" s="653"/>
      <c r="M67" s="653"/>
      <c r="N67" s="653"/>
      <c r="O67" s="653"/>
      <c r="P67" s="653"/>
      <c r="Q67" s="653"/>
      <c r="R67" s="653"/>
      <c r="S67" s="653"/>
      <c r="T67" s="653"/>
      <c r="U67" s="653"/>
      <c r="V67" s="653"/>
      <c r="W67" s="653"/>
      <c r="X67" s="653"/>
      <c r="Y67" s="653"/>
      <c r="Z67" s="653"/>
      <c r="AA67" s="653"/>
      <c r="AB67" s="653"/>
      <c r="AC67" s="653"/>
      <c r="AD67" s="653"/>
      <c r="AE67" s="653"/>
      <c r="AF67" s="653"/>
      <c r="AG67" s="653"/>
      <c r="AH67" s="653"/>
      <c r="AI67" s="653"/>
      <c r="AJ67" s="653"/>
      <c r="AK67" s="653"/>
    </row>
    <row r="68" spans="1:37" s="654" customFormat="1" ht="11.25" x14ac:dyDescent="0.2">
      <c r="A68" s="653"/>
      <c r="B68" s="653"/>
      <c r="C68" s="653"/>
      <c r="D68" s="653"/>
      <c r="E68" s="653"/>
      <c r="F68" s="653"/>
      <c r="G68" s="653"/>
      <c r="H68" s="653"/>
      <c r="I68" s="653"/>
      <c r="J68" s="653"/>
      <c r="K68" s="653"/>
      <c r="L68" s="653"/>
      <c r="M68" s="653"/>
      <c r="N68" s="653"/>
      <c r="O68" s="653"/>
      <c r="P68" s="653"/>
      <c r="Q68" s="653"/>
      <c r="R68" s="653"/>
      <c r="S68" s="653"/>
      <c r="T68" s="653"/>
      <c r="U68" s="653"/>
      <c r="V68" s="653"/>
      <c r="W68" s="653"/>
      <c r="X68" s="653"/>
      <c r="Y68" s="653"/>
      <c r="Z68" s="653"/>
      <c r="AA68" s="653"/>
      <c r="AB68" s="653"/>
      <c r="AC68" s="653"/>
      <c r="AD68" s="653"/>
      <c r="AE68" s="653"/>
      <c r="AF68" s="653"/>
      <c r="AG68" s="653"/>
      <c r="AH68" s="653"/>
      <c r="AI68" s="653"/>
      <c r="AJ68" s="653"/>
      <c r="AK68" s="653"/>
    </row>
    <row r="69" spans="1:37" s="654" customFormat="1" ht="11.25" x14ac:dyDescent="0.2">
      <c r="A69" s="653"/>
      <c r="B69" s="653"/>
      <c r="C69" s="653"/>
      <c r="D69" s="653"/>
      <c r="E69" s="653"/>
      <c r="F69" s="653"/>
      <c r="G69" s="653"/>
      <c r="H69" s="653"/>
      <c r="I69" s="653"/>
      <c r="J69" s="653"/>
      <c r="K69" s="653"/>
      <c r="L69" s="653"/>
      <c r="M69" s="653"/>
      <c r="N69" s="653"/>
      <c r="O69" s="653"/>
      <c r="P69" s="653"/>
      <c r="Q69" s="653"/>
      <c r="R69" s="653"/>
      <c r="S69" s="653"/>
      <c r="T69" s="653"/>
      <c r="U69" s="653"/>
      <c r="V69" s="653"/>
      <c r="W69" s="653"/>
      <c r="X69" s="653"/>
      <c r="Y69" s="653"/>
      <c r="Z69" s="653"/>
      <c r="AA69" s="653"/>
      <c r="AB69" s="653"/>
      <c r="AC69" s="653"/>
      <c r="AD69" s="653"/>
      <c r="AE69" s="653"/>
      <c r="AF69" s="653"/>
      <c r="AG69" s="653"/>
      <c r="AH69" s="653"/>
      <c r="AI69" s="653"/>
      <c r="AJ69" s="653"/>
      <c r="AK69" s="653"/>
    </row>
    <row r="70" spans="1:37" s="654" customFormat="1" ht="11.25" x14ac:dyDescent="0.2">
      <c r="A70" s="653"/>
      <c r="B70" s="653"/>
      <c r="C70" s="653"/>
      <c r="D70" s="653"/>
      <c r="E70" s="653"/>
      <c r="F70" s="653"/>
      <c r="G70" s="653"/>
      <c r="H70" s="653"/>
      <c r="I70" s="653"/>
      <c r="J70" s="653"/>
      <c r="K70" s="653"/>
      <c r="L70" s="653"/>
      <c r="M70" s="653"/>
      <c r="N70" s="653"/>
      <c r="O70" s="653"/>
      <c r="P70" s="653"/>
      <c r="Q70" s="653"/>
      <c r="R70" s="653"/>
      <c r="S70" s="653"/>
      <c r="T70" s="653"/>
      <c r="U70" s="653"/>
      <c r="V70" s="653"/>
      <c r="W70" s="653"/>
      <c r="X70" s="653"/>
      <c r="Y70" s="653"/>
      <c r="Z70" s="653"/>
      <c r="AA70" s="653"/>
      <c r="AB70" s="653"/>
      <c r="AC70" s="653"/>
      <c r="AD70" s="653"/>
      <c r="AE70" s="653"/>
      <c r="AF70" s="653"/>
      <c r="AG70" s="653"/>
      <c r="AH70" s="653"/>
      <c r="AI70" s="653"/>
      <c r="AJ70" s="653"/>
      <c r="AK70" s="653"/>
    </row>
    <row r="71" spans="1:37" s="654" customFormat="1" ht="11.25" x14ac:dyDescent="0.2">
      <c r="A71" s="653"/>
      <c r="B71" s="653"/>
      <c r="C71" s="653"/>
      <c r="D71" s="653"/>
      <c r="E71" s="653"/>
      <c r="F71" s="653"/>
      <c r="G71" s="653"/>
      <c r="H71" s="653"/>
      <c r="I71" s="653"/>
      <c r="J71" s="653"/>
      <c r="K71" s="653"/>
      <c r="L71" s="653"/>
      <c r="M71" s="653"/>
      <c r="N71" s="653"/>
      <c r="O71" s="653"/>
      <c r="P71" s="653"/>
      <c r="Q71" s="653"/>
      <c r="R71" s="653"/>
      <c r="S71" s="653"/>
      <c r="T71" s="653"/>
      <c r="U71" s="653"/>
      <c r="V71" s="653"/>
      <c r="W71" s="653"/>
      <c r="X71" s="653"/>
      <c r="Y71" s="653"/>
      <c r="Z71" s="653"/>
      <c r="AA71" s="653"/>
      <c r="AB71" s="653"/>
      <c r="AC71" s="653"/>
      <c r="AD71" s="653"/>
      <c r="AE71" s="653"/>
      <c r="AF71" s="653"/>
      <c r="AG71" s="653"/>
      <c r="AH71" s="653"/>
      <c r="AI71" s="653"/>
      <c r="AJ71" s="653"/>
      <c r="AK71" s="653"/>
    </row>
    <row r="72" spans="1:37" s="654" customFormat="1" ht="11.25" x14ac:dyDescent="0.2">
      <c r="A72" s="653"/>
      <c r="B72" s="653"/>
      <c r="C72" s="653"/>
      <c r="D72" s="653"/>
      <c r="E72" s="653"/>
      <c r="F72" s="653"/>
      <c r="G72" s="653"/>
      <c r="H72" s="653"/>
      <c r="I72" s="653"/>
      <c r="J72" s="653"/>
      <c r="K72" s="653"/>
      <c r="L72" s="653"/>
      <c r="M72" s="653"/>
      <c r="N72" s="653"/>
      <c r="O72" s="653"/>
      <c r="P72" s="653"/>
      <c r="Q72" s="653"/>
      <c r="R72" s="653"/>
      <c r="S72" s="653"/>
      <c r="T72" s="653"/>
      <c r="U72" s="653"/>
      <c r="V72" s="653"/>
      <c r="W72" s="653"/>
      <c r="X72" s="653"/>
      <c r="Y72" s="653"/>
      <c r="Z72" s="653"/>
      <c r="AA72" s="653"/>
      <c r="AB72" s="653"/>
      <c r="AC72" s="653"/>
      <c r="AD72" s="653"/>
      <c r="AE72" s="653"/>
      <c r="AF72" s="653"/>
      <c r="AG72" s="653"/>
      <c r="AH72" s="653"/>
      <c r="AI72" s="653"/>
      <c r="AJ72" s="653"/>
      <c r="AK72" s="653"/>
    </row>
    <row r="73" spans="1:37" s="654" customFormat="1" ht="11.25" x14ac:dyDescent="0.2">
      <c r="A73" s="653"/>
      <c r="B73" s="653"/>
      <c r="C73" s="653"/>
      <c r="D73" s="653"/>
      <c r="E73" s="653"/>
      <c r="F73" s="653"/>
      <c r="G73" s="653"/>
      <c r="H73" s="653"/>
      <c r="I73" s="653"/>
      <c r="J73" s="653"/>
      <c r="K73" s="653"/>
      <c r="L73" s="653"/>
      <c r="M73" s="653"/>
      <c r="N73" s="653"/>
      <c r="O73" s="653"/>
      <c r="P73" s="653"/>
      <c r="Q73" s="653"/>
      <c r="R73" s="653"/>
      <c r="S73" s="653"/>
      <c r="T73" s="653"/>
      <c r="U73" s="653"/>
      <c r="V73" s="653"/>
      <c r="W73" s="653"/>
      <c r="X73" s="653"/>
      <c r="Y73" s="653"/>
      <c r="Z73" s="653"/>
      <c r="AA73" s="653"/>
      <c r="AB73" s="653"/>
      <c r="AC73" s="653"/>
      <c r="AD73" s="653"/>
      <c r="AE73" s="653"/>
      <c r="AF73" s="653"/>
      <c r="AG73" s="653"/>
      <c r="AH73" s="653"/>
      <c r="AI73" s="653"/>
      <c r="AJ73" s="653"/>
      <c r="AK73" s="653"/>
    </row>
    <row r="74" spans="1:37" s="654" customFormat="1" ht="11.25" x14ac:dyDescent="0.2">
      <c r="A74" s="653"/>
      <c r="B74" s="653"/>
      <c r="C74" s="653"/>
      <c r="D74" s="653"/>
      <c r="E74" s="653"/>
      <c r="F74" s="653"/>
      <c r="G74" s="653"/>
      <c r="H74" s="653"/>
      <c r="I74" s="653"/>
      <c r="J74" s="653"/>
      <c r="K74" s="653"/>
      <c r="L74" s="653"/>
      <c r="M74" s="653"/>
      <c r="N74" s="653"/>
      <c r="O74" s="653"/>
      <c r="P74" s="653"/>
      <c r="Q74" s="653"/>
      <c r="R74" s="653"/>
      <c r="S74" s="653"/>
      <c r="T74" s="653"/>
      <c r="U74" s="653"/>
      <c r="V74" s="653"/>
      <c r="W74" s="653"/>
      <c r="X74" s="653"/>
      <c r="Y74" s="653"/>
      <c r="Z74" s="653"/>
      <c r="AA74" s="653"/>
      <c r="AB74" s="653"/>
      <c r="AC74" s="653"/>
      <c r="AD74" s="653"/>
      <c r="AE74" s="653"/>
      <c r="AF74" s="653"/>
      <c r="AG74" s="653"/>
      <c r="AH74" s="653"/>
      <c r="AI74" s="653"/>
      <c r="AJ74" s="653"/>
      <c r="AK74" s="653"/>
    </row>
    <row r="75" spans="1:37" s="654" customFormat="1" ht="11.25" x14ac:dyDescent="0.2">
      <c r="A75" s="653"/>
      <c r="B75" s="653"/>
      <c r="C75" s="653"/>
      <c r="D75" s="653"/>
      <c r="E75" s="653"/>
      <c r="F75" s="653"/>
      <c r="G75" s="653"/>
      <c r="H75" s="653"/>
      <c r="I75" s="653"/>
      <c r="J75" s="653"/>
      <c r="K75" s="653"/>
      <c r="L75" s="653"/>
      <c r="M75" s="653"/>
      <c r="N75" s="653"/>
      <c r="O75" s="653"/>
      <c r="P75" s="653"/>
      <c r="Q75" s="653"/>
      <c r="R75" s="653"/>
      <c r="S75" s="653"/>
      <c r="T75" s="653"/>
      <c r="U75" s="653"/>
      <c r="V75" s="653"/>
      <c r="W75" s="653"/>
      <c r="X75" s="653"/>
      <c r="Y75" s="653"/>
      <c r="Z75" s="653"/>
      <c r="AA75" s="653"/>
      <c r="AB75" s="653"/>
      <c r="AC75" s="653"/>
      <c r="AD75" s="653"/>
      <c r="AE75" s="653"/>
      <c r="AF75" s="653"/>
      <c r="AG75" s="653"/>
      <c r="AH75" s="653"/>
      <c r="AI75" s="653"/>
      <c r="AJ75" s="653"/>
      <c r="AK75" s="653"/>
    </row>
    <row r="76" spans="1:37" s="654" customFormat="1" ht="11.25" x14ac:dyDescent="0.2">
      <c r="A76" s="653"/>
      <c r="B76" s="653"/>
      <c r="C76" s="653"/>
      <c r="D76" s="653"/>
      <c r="E76" s="653"/>
      <c r="F76" s="653"/>
      <c r="G76" s="653"/>
      <c r="H76" s="653"/>
      <c r="I76" s="653"/>
      <c r="J76" s="653"/>
      <c r="K76" s="653"/>
      <c r="L76" s="653"/>
      <c r="M76" s="653"/>
      <c r="N76" s="653"/>
      <c r="O76" s="653"/>
      <c r="P76" s="653"/>
      <c r="Q76" s="653"/>
      <c r="R76" s="653"/>
      <c r="S76" s="653"/>
      <c r="T76" s="653"/>
      <c r="U76" s="653"/>
      <c r="V76" s="653"/>
      <c r="W76" s="653"/>
      <c r="X76" s="653"/>
      <c r="Y76" s="653"/>
      <c r="Z76" s="653"/>
      <c r="AA76" s="653"/>
      <c r="AB76" s="653"/>
      <c r="AC76" s="653"/>
      <c r="AD76" s="653"/>
      <c r="AE76" s="653"/>
      <c r="AF76" s="653"/>
      <c r="AG76" s="653"/>
      <c r="AH76" s="653"/>
      <c r="AI76" s="653"/>
      <c r="AJ76" s="653"/>
      <c r="AK76" s="653"/>
    </row>
    <row r="77" spans="1:37" s="654" customFormat="1" ht="11.25" x14ac:dyDescent="0.2">
      <c r="A77" s="653"/>
      <c r="B77" s="653"/>
      <c r="C77" s="653"/>
      <c r="D77" s="653"/>
      <c r="E77" s="653"/>
      <c r="F77" s="653"/>
      <c r="G77" s="653"/>
      <c r="H77" s="653"/>
      <c r="I77" s="653"/>
      <c r="J77" s="653"/>
      <c r="K77" s="653"/>
      <c r="L77" s="653"/>
      <c r="M77" s="653"/>
      <c r="N77" s="653"/>
      <c r="O77" s="653"/>
      <c r="P77" s="653"/>
      <c r="Q77" s="653"/>
      <c r="R77" s="653"/>
      <c r="S77" s="653"/>
      <c r="T77" s="653"/>
      <c r="U77" s="653"/>
      <c r="V77" s="653"/>
      <c r="W77" s="653"/>
      <c r="X77" s="653"/>
      <c r="Y77" s="653"/>
      <c r="Z77" s="653"/>
      <c r="AA77" s="653"/>
      <c r="AB77" s="653"/>
      <c r="AC77" s="653"/>
      <c r="AD77" s="653"/>
      <c r="AE77" s="653"/>
      <c r="AF77" s="653"/>
      <c r="AG77" s="653"/>
      <c r="AH77" s="653"/>
      <c r="AI77" s="653"/>
      <c r="AJ77" s="653"/>
      <c r="AK77" s="653"/>
    </row>
    <row r="78" spans="1:37" s="654" customFormat="1" ht="11.25" x14ac:dyDescent="0.2">
      <c r="A78" s="653"/>
      <c r="B78" s="653"/>
      <c r="C78" s="653"/>
      <c r="D78" s="653"/>
      <c r="E78" s="653"/>
      <c r="F78" s="653"/>
      <c r="G78" s="653"/>
      <c r="H78" s="653"/>
      <c r="I78" s="653"/>
      <c r="J78" s="653"/>
      <c r="K78" s="653"/>
      <c r="L78" s="653"/>
      <c r="M78" s="653"/>
      <c r="N78" s="653"/>
      <c r="O78" s="653"/>
      <c r="P78" s="653"/>
      <c r="Q78" s="653"/>
      <c r="R78" s="653"/>
      <c r="S78" s="653"/>
      <c r="T78" s="653"/>
      <c r="U78" s="653"/>
      <c r="V78" s="653"/>
      <c r="W78" s="653"/>
      <c r="X78" s="653"/>
      <c r="Y78" s="653"/>
      <c r="Z78" s="653"/>
      <c r="AA78" s="653"/>
      <c r="AB78" s="653"/>
      <c r="AC78" s="653"/>
      <c r="AD78" s="653"/>
      <c r="AE78" s="653"/>
      <c r="AF78" s="653"/>
      <c r="AG78" s="653"/>
      <c r="AH78" s="653"/>
      <c r="AI78" s="653"/>
      <c r="AJ78" s="653"/>
      <c r="AK78" s="653"/>
    </row>
    <row r="79" spans="1:37" s="654" customFormat="1" ht="11.25" x14ac:dyDescent="0.2">
      <c r="A79" s="653"/>
      <c r="B79" s="653"/>
      <c r="C79" s="653"/>
      <c r="D79" s="653"/>
      <c r="E79" s="653"/>
      <c r="F79" s="653"/>
      <c r="G79" s="653"/>
      <c r="H79" s="653"/>
      <c r="I79" s="653"/>
      <c r="J79" s="653"/>
      <c r="K79" s="653"/>
      <c r="L79" s="653"/>
      <c r="M79" s="653"/>
      <c r="N79" s="653"/>
      <c r="O79" s="653"/>
      <c r="P79" s="653"/>
      <c r="Q79" s="653"/>
      <c r="R79" s="653"/>
      <c r="S79" s="653"/>
      <c r="T79" s="653"/>
      <c r="U79" s="653"/>
      <c r="V79" s="653"/>
      <c r="W79" s="653"/>
      <c r="X79" s="653"/>
      <c r="Y79" s="653"/>
      <c r="Z79" s="653"/>
      <c r="AA79" s="653"/>
      <c r="AB79" s="653"/>
      <c r="AC79" s="653"/>
      <c r="AD79" s="653"/>
      <c r="AE79" s="653"/>
      <c r="AF79" s="653"/>
      <c r="AG79" s="653"/>
      <c r="AH79" s="653"/>
      <c r="AI79" s="653"/>
      <c r="AJ79" s="653"/>
      <c r="AK79" s="653"/>
    </row>
    <row r="80" spans="1:37" s="654" customFormat="1" ht="11.25" x14ac:dyDescent="0.2">
      <c r="A80" s="653"/>
      <c r="B80" s="653"/>
      <c r="C80" s="653"/>
      <c r="D80" s="653"/>
      <c r="E80" s="653"/>
      <c r="F80" s="653"/>
      <c r="G80" s="653"/>
      <c r="H80" s="653"/>
      <c r="I80" s="653"/>
      <c r="J80" s="653"/>
      <c r="K80" s="653"/>
      <c r="L80" s="653"/>
      <c r="M80" s="653"/>
      <c r="N80" s="653"/>
      <c r="O80" s="653"/>
      <c r="P80" s="653"/>
      <c r="Q80" s="653"/>
      <c r="R80" s="653"/>
      <c r="S80" s="653"/>
      <c r="T80" s="653"/>
      <c r="U80" s="653"/>
      <c r="V80" s="653"/>
      <c r="W80" s="653"/>
      <c r="X80" s="653"/>
      <c r="Y80" s="653"/>
      <c r="Z80" s="653"/>
      <c r="AA80" s="653"/>
      <c r="AB80" s="653"/>
      <c r="AC80" s="653"/>
      <c r="AD80" s="653"/>
      <c r="AE80" s="653"/>
      <c r="AF80" s="653"/>
      <c r="AG80" s="653"/>
      <c r="AH80" s="653"/>
      <c r="AI80" s="653"/>
      <c r="AJ80" s="653"/>
      <c r="AK80" s="653"/>
    </row>
    <row r="81" spans="1:37" s="654" customFormat="1" ht="11.25" x14ac:dyDescent="0.2">
      <c r="A81" s="653"/>
      <c r="B81" s="653"/>
      <c r="C81" s="653"/>
      <c r="D81" s="653"/>
      <c r="E81" s="653"/>
      <c r="F81" s="653"/>
      <c r="G81" s="653"/>
      <c r="H81" s="653"/>
      <c r="I81" s="653"/>
      <c r="J81" s="653"/>
      <c r="K81" s="653"/>
      <c r="L81" s="653"/>
      <c r="M81" s="653"/>
      <c r="N81" s="653"/>
      <c r="O81" s="653"/>
      <c r="P81" s="653"/>
      <c r="Q81" s="653"/>
      <c r="R81" s="653"/>
      <c r="S81" s="653"/>
      <c r="T81" s="653"/>
      <c r="U81" s="653"/>
      <c r="V81" s="653"/>
      <c r="W81" s="653"/>
      <c r="X81" s="653"/>
      <c r="Y81" s="653"/>
      <c r="Z81" s="653"/>
      <c r="AA81" s="653"/>
      <c r="AB81" s="653"/>
      <c r="AC81" s="653"/>
      <c r="AD81" s="653"/>
      <c r="AE81" s="653"/>
      <c r="AF81" s="653"/>
      <c r="AG81" s="653"/>
      <c r="AH81" s="653"/>
      <c r="AI81" s="653"/>
      <c r="AJ81" s="653"/>
      <c r="AK81" s="653"/>
    </row>
    <row r="82" spans="1:37" s="654" customFormat="1" ht="11.25" x14ac:dyDescent="0.2">
      <c r="A82" s="653"/>
      <c r="B82" s="653"/>
      <c r="C82" s="653"/>
      <c r="D82" s="653"/>
      <c r="E82" s="653"/>
      <c r="F82" s="653"/>
      <c r="G82" s="653"/>
      <c r="H82" s="653"/>
      <c r="I82" s="653"/>
      <c r="J82" s="653"/>
      <c r="K82" s="653"/>
      <c r="L82" s="653"/>
      <c r="M82" s="653"/>
      <c r="N82" s="653"/>
      <c r="O82" s="653"/>
      <c r="P82" s="653"/>
      <c r="Q82" s="653"/>
      <c r="R82" s="653"/>
      <c r="S82" s="653"/>
      <c r="T82" s="653"/>
      <c r="U82" s="653"/>
      <c r="V82" s="653"/>
      <c r="W82" s="653"/>
      <c r="X82" s="653"/>
      <c r="Y82" s="653"/>
      <c r="Z82" s="653"/>
      <c r="AA82" s="653"/>
      <c r="AB82" s="653"/>
      <c r="AC82" s="653"/>
      <c r="AD82" s="653"/>
      <c r="AE82" s="653"/>
      <c r="AF82" s="653"/>
      <c r="AG82" s="653"/>
      <c r="AH82" s="653"/>
      <c r="AI82" s="653"/>
      <c r="AJ82" s="653"/>
      <c r="AK82" s="653"/>
    </row>
    <row r="83" spans="1:37" s="654" customFormat="1" ht="11.25" x14ac:dyDescent="0.2">
      <c r="A83" s="653"/>
      <c r="B83" s="653"/>
      <c r="C83" s="653"/>
      <c r="D83" s="653"/>
      <c r="E83" s="653"/>
      <c r="F83" s="653"/>
      <c r="G83" s="653"/>
      <c r="H83" s="653"/>
      <c r="I83" s="653"/>
      <c r="J83" s="653"/>
      <c r="K83" s="653"/>
      <c r="L83" s="653"/>
      <c r="M83" s="653"/>
      <c r="N83" s="653"/>
      <c r="O83" s="653"/>
      <c r="P83" s="653"/>
      <c r="Q83" s="653"/>
      <c r="R83" s="653"/>
      <c r="S83" s="653"/>
      <c r="T83" s="653"/>
      <c r="U83" s="653"/>
      <c r="V83" s="653"/>
      <c r="W83" s="653"/>
      <c r="X83" s="653"/>
      <c r="Y83" s="653"/>
      <c r="Z83" s="653"/>
      <c r="AA83" s="653"/>
      <c r="AB83" s="653"/>
      <c r="AC83" s="653"/>
      <c r="AD83" s="653"/>
      <c r="AE83" s="653"/>
      <c r="AF83" s="653"/>
      <c r="AG83" s="653"/>
      <c r="AH83" s="653"/>
      <c r="AI83" s="653"/>
      <c r="AJ83" s="653"/>
      <c r="AK83" s="653"/>
    </row>
    <row r="84" spans="1:37" s="654" customFormat="1" ht="11.25" x14ac:dyDescent="0.2">
      <c r="A84" s="653"/>
      <c r="B84" s="653"/>
      <c r="C84" s="653"/>
      <c r="D84" s="653"/>
      <c r="E84" s="653"/>
      <c r="F84" s="653"/>
      <c r="G84" s="653"/>
      <c r="H84" s="653"/>
      <c r="I84" s="653"/>
      <c r="J84" s="653"/>
      <c r="K84" s="653"/>
      <c r="L84" s="653"/>
      <c r="M84" s="653"/>
      <c r="N84" s="653"/>
      <c r="O84" s="653"/>
      <c r="P84" s="653"/>
      <c r="Q84" s="653"/>
      <c r="R84" s="653"/>
      <c r="S84" s="653"/>
      <c r="T84" s="653"/>
      <c r="U84" s="653"/>
      <c r="V84" s="653"/>
      <c r="W84" s="653"/>
      <c r="X84" s="653"/>
      <c r="Y84" s="653"/>
      <c r="Z84" s="653"/>
      <c r="AA84" s="653"/>
      <c r="AB84" s="653"/>
      <c r="AC84" s="653"/>
      <c r="AD84" s="653"/>
      <c r="AE84" s="653"/>
      <c r="AF84" s="653"/>
      <c r="AG84" s="653"/>
      <c r="AH84" s="653"/>
      <c r="AI84" s="653"/>
      <c r="AJ84" s="653"/>
      <c r="AK84" s="653"/>
    </row>
    <row r="85" spans="1:37" s="654" customFormat="1" ht="11.25" x14ac:dyDescent="0.2">
      <c r="A85" s="653"/>
      <c r="B85" s="653"/>
      <c r="C85" s="653"/>
      <c r="D85" s="653"/>
      <c r="E85" s="653"/>
      <c r="F85" s="653"/>
      <c r="G85" s="653"/>
      <c r="H85" s="653"/>
      <c r="I85" s="653"/>
      <c r="J85" s="653"/>
      <c r="K85" s="653"/>
      <c r="L85" s="653"/>
      <c r="M85" s="653"/>
      <c r="N85" s="653"/>
      <c r="O85" s="653"/>
      <c r="P85" s="653"/>
      <c r="Q85" s="653"/>
      <c r="R85" s="653"/>
      <c r="S85" s="653"/>
      <c r="T85" s="653"/>
      <c r="U85" s="653"/>
      <c r="V85" s="653"/>
      <c r="W85" s="653"/>
      <c r="X85" s="653"/>
      <c r="Y85" s="653"/>
      <c r="Z85" s="653"/>
      <c r="AA85" s="653"/>
      <c r="AB85" s="653"/>
      <c r="AC85" s="653"/>
      <c r="AD85" s="653"/>
      <c r="AE85" s="653"/>
      <c r="AF85" s="653"/>
      <c r="AG85" s="653"/>
      <c r="AH85" s="653"/>
      <c r="AI85" s="653"/>
      <c r="AJ85" s="653"/>
      <c r="AK85" s="653"/>
    </row>
    <row r="86" spans="1:37" s="654" customFormat="1" ht="11.25" x14ac:dyDescent="0.2">
      <c r="A86" s="653"/>
      <c r="B86" s="653"/>
      <c r="C86" s="653"/>
      <c r="D86" s="653"/>
      <c r="E86" s="653"/>
      <c r="F86" s="653"/>
      <c r="G86" s="653"/>
      <c r="H86" s="653"/>
      <c r="I86" s="653"/>
      <c r="J86" s="653"/>
      <c r="K86" s="653"/>
      <c r="L86" s="653"/>
      <c r="M86" s="653"/>
      <c r="N86" s="653"/>
      <c r="O86" s="653"/>
      <c r="P86" s="653"/>
      <c r="Q86" s="653"/>
      <c r="R86" s="653"/>
      <c r="S86" s="653"/>
      <c r="T86" s="653"/>
      <c r="U86" s="653"/>
      <c r="V86" s="653"/>
      <c r="W86" s="653"/>
      <c r="X86" s="653"/>
      <c r="Y86" s="653"/>
      <c r="Z86" s="653"/>
      <c r="AA86" s="653"/>
      <c r="AB86" s="653"/>
      <c r="AC86" s="653"/>
      <c r="AD86" s="653"/>
      <c r="AE86" s="653"/>
      <c r="AF86" s="653"/>
      <c r="AG86" s="653"/>
      <c r="AH86" s="653"/>
      <c r="AI86" s="653"/>
      <c r="AJ86" s="653"/>
      <c r="AK86" s="653"/>
    </row>
    <row r="87" spans="1:37" s="654" customFormat="1" ht="11.25" x14ac:dyDescent="0.2">
      <c r="A87" s="653"/>
      <c r="B87" s="653"/>
      <c r="C87" s="653"/>
      <c r="D87" s="653"/>
      <c r="E87" s="653"/>
      <c r="F87" s="653"/>
      <c r="G87" s="653"/>
      <c r="H87" s="653"/>
      <c r="I87" s="653"/>
      <c r="J87" s="653"/>
      <c r="K87" s="653"/>
      <c r="L87" s="653"/>
      <c r="M87" s="653"/>
      <c r="N87" s="653"/>
      <c r="O87" s="653"/>
      <c r="P87" s="653"/>
      <c r="Q87" s="653"/>
      <c r="R87" s="653"/>
      <c r="S87" s="653"/>
      <c r="T87" s="653"/>
      <c r="U87" s="653"/>
      <c r="V87" s="653"/>
      <c r="W87" s="653"/>
      <c r="X87" s="653"/>
      <c r="Y87" s="653"/>
      <c r="Z87" s="653"/>
      <c r="AA87" s="653"/>
      <c r="AB87" s="653"/>
      <c r="AC87" s="653"/>
      <c r="AD87" s="653"/>
      <c r="AE87" s="653"/>
      <c r="AF87" s="653"/>
      <c r="AG87" s="653"/>
      <c r="AH87" s="653"/>
      <c r="AI87" s="653"/>
      <c r="AJ87" s="653"/>
      <c r="AK87" s="653"/>
    </row>
    <row r="88" spans="1:37" s="654" customFormat="1" ht="11.25" x14ac:dyDescent="0.2">
      <c r="A88" s="653"/>
      <c r="B88" s="653"/>
      <c r="C88" s="653"/>
      <c r="D88" s="653"/>
      <c r="E88" s="653"/>
      <c r="F88" s="653"/>
      <c r="G88" s="653"/>
      <c r="H88" s="653"/>
      <c r="I88" s="653"/>
      <c r="J88" s="653"/>
      <c r="K88" s="653"/>
      <c r="L88" s="653"/>
      <c r="M88" s="653"/>
      <c r="N88" s="653"/>
      <c r="O88" s="653"/>
      <c r="P88" s="653"/>
      <c r="Q88" s="653"/>
      <c r="R88" s="653"/>
      <c r="S88" s="653"/>
      <c r="T88" s="653"/>
      <c r="U88" s="653"/>
      <c r="V88" s="653"/>
      <c r="W88" s="653"/>
      <c r="X88" s="653"/>
      <c r="Y88" s="653"/>
      <c r="Z88" s="653"/>
      <c r="AA88" s="653"/>
      <c r="AB88" s="653"/>
      <c r="AC88" s="653"/>
      <c r="AD88" s="653"/>
      <c r="AE88" s="653"/>
      <c r="AF88" s="653"/>
      <c r="AG88" s="653"/>
      <c r="AH88" s="653"/>
      <c r="AI88" s="653"/>
      <c r="AJ88" s="653"/>
      <c r="AK88" s="653"/>
    </row>
    <row r="89" spans="1:37" s="654" customFormat="1" ht="11.25" x14ac:dyDescent="0.2">
      <c r="A89" s="653"/>
      <c r="B89" s="653"/>
      <c r="C89" s="653"/>
      <c r="D89" s="653"/>
      <c r="E89" s="653"/>
      <c r="F89" s="653"/>
      <c r="G89" s="653"/>
      <c r="H89" s="653"/>
      <c r="I89" s="653"/>
      <c r="J89" s="653"/>
      <c r="K89" s="653"/>
      <c r="L89" s="653"/>
      <c r="M89" s="653"/>
      <c r="N89" s="653"/>
      <c r="O89" s="653"/>
      <c r="P89" s="653"/>
      <c r="Q89" s="653"/>
      <c r="R89" s="653"/>
      <c r="S89" s="653"/>
      <c r="T89" s="653"/>
      <c r="U89" s="653"/>
      <c r="V89" s="653"/>
      <c r="W89" s="653"/>
      <c r="X89" s="653"/>
      <c r="Y89" s="653"/>
      <c r="Z89" s="653"/>
      <c r="AA89" s="653"/>
      <c r="AB89" s="653"/>
      <c r="AC89" s="653"/>
      <c r="AD89" s="653"/>
      <c r="AE89" s="653"/>
      <c r="AF89" s="653"/>
      <c r="AG89" s="653"/>
      <c r="AH89" s="653"/>
      <c r="AI89" s="653"/>
      <c r="AJ89" s="653"/>
      <c r="AK89" s="653"/>
    </row>
    <row r="90" spans="1:37" s="654" customFormat="1" ht="11.25" x14ac:dyDescent="0.2">
      <c r="A90" s="653"/>
      <c r="B90" s="653"/>
      <c r="C90" s="653"/>
      <c r="D90" s="653"/>
      <c r="E90" s="653"/>
      <c r="F90" s="653"/>
      <c r="G90" s="653"/>
      <c r="H90" s="653"/>
      <c r="I90" s="653"/>
      <c r="J90" s="653"/>
      <c r="K90" s="653"/>
      <c r="L90" s="653"/>
      <c r="M90" s="653"/>
      <c r="N90" s="653"/>
      <c r="O90" s="653"/>
      <c r="P90" s="653"/>
      <c r="Q90" s="653"/>
      <c r="R90" s="653"/>
      <c r="S90" s="653"/>
      <c r="T90" s="653"/>
      <c r="U90" s="653"/>
      <c r="V90" s="653"/>
      <c r="W90" s="653"/>
      <c r="X90" s="653"/>
      <c r="Y90" s="653"/>
      <c r="Z90" s="653"/>
      <c r="AA90" s="653"/>
      <c r="AB90" s="653"/>
      <c r="AC90" s="653"/>
      <c r="AD90" s="653"/>
      <c r="AE90" s="653"/>
      <c r="AF90" s="653"/>
      <c r="AG90" s="653"/>
      <c r="AH90" s="653"/>
      <c r="AI90" s="653"/>
      <c r="AJ90" s="653"/>
      <c r="AK90" s="653"/>
    </row>
    <row r="91" spans="1:37" s="654" customFormat="1" ht="11.25" x14ac:dyDescent="0.2">
      <c r="A91" s="653"/>
      <c r="B91" s="653"/>
      <c r="C91" s="653"/>
      <c r="D91" s="653"/>
      <c r="E91" s="653"/>
      <c r="F91" s="653"/>
      <c r="G91" s="653"/>
      <c r="H91" s="653"/>
      <c r="I91" s="653"/>
      <c r="J91" s="653"/>
      <c r="K91" s="653"/>
      <c r="L91" s="653"/>
      <c r="M91" s="653"/>
      <c r="N91" s="653"/>
      <c r="O91" s="653"/>
      <c r="P91" s="653"/>
      <c r="Q91" s="653"/>
      <c r="R91" s="653"/>
      <c r="S91" s="653"/>
      <c r="T91" s="653"/>
      <c r="U91" s="653"/>
      <c r="V91" s="653"/>
      <c r="W91" s="653"/>
      <c r="X91" s="653"/>
      <c r="Y91" s="653"/>
      <c r="Z91" s="653"/>
      <c r="AA91" s="653"/>
      <c r="AB91" s="653"/>
      <c r="AC91" s="653"/>
      <c r="AD91" s="653"/>
      <c r="AE91" s="653"/>
      <c r="AF91" s="653"/>
      <c r="AG91" s="653"/>
      <c r="AH91" s="653"/>
      <c r="AI91" s="653"/>
      <c r="AJ91" s="653"/>
      <c r="AK91" s="653"/>
    </row>
    <row r="92" spans="1:37" s="654" customFormat="1" ht="11.25" x14ac:dyDescent="0.2">
      <c r="A92" s="653"/>
      <c r="B92" s="653"/>
      <c r="C92" s="653"/>
      <c r="D92" s="653"/>
      <c r="E92" s="653"/>
      <c r="F92" s="653"/>
      <c r="G92" s="653"/>
      <c r="H92" s="653"/>
      <c r="I92" s="653"/>
      <c r="J92" s="653"/>
      <c r="K92" s="653"/>
      <c r="L92" s="653"/>
      <c r="M92" s="653"/>
      <c r="N92" s="653"/>
      <c r="O92" s="653"/>
      <c r="P92" s="653"/>
      <c r="Q92" s="653"/>
      <c r="R92" s="653"/>
      <c r="S92" s="653"/>
      <c r="T92" s="653"/>
      <c r="U92" s="653"/>
      <c r="V92" s="653"/>
      <c r="W92" s="653"/>
      <c r="X92" s="653"/>
      <c r="Y92" s="653"/>
      <c r="Z92" s="653"/>
      <c r="AA92" s="653"/>
      <c r="AB92" s="653"/>
      <c r="AC92" s="653"/>
      <c r="AD92" s="653"/>
      <c r="AE92" s="653"/>
      <c r="AF92" s="653"/>
      <c r="AG92" s="653"/>
      <c r="AH92" s="653"/>
      <c r="AI92" s="653"/>
      <c r="AJ92" s="653"/>
      <c r="AK92" s="653"/>
    </row>
    <row r="93" spans="1:37" s="654" customFormat="1" ht="11.25" x14ac:dyDescent="0.2">
      <c r="A93" s="653"/>
      <c r="B93" s="653"/>
      <c r="C93" s="653"/>
      <c r="D93" s="653"/>
      <c r="E93" s="653"/>
      <c r="F93" s="653"/>
      <c r="G93" s="653"/>
      <c r="H93" s="653"/>
      <c r="I93" s="653"/>
      <c r="J93" s="653"/>
      <c r="K93" s="653"/>
      <c r="L93" s="653"/>
      <c r="M93" s="653"/>
      <c r="N93" s="653"/>
      <c r="O93" s="653"/>
      <c r="P93" s="653"/>
      <c r="Q93" s="653"/>
      <c r="R93" s="653"/>
      <c r="S93" s="653"/>
      <c r="T93" s="653"/>
      <c r="U93" s="653"/>
      <c r="V93" s="653"/>
      <c r="W93" s="653"/>
      <c r="X93" s="653"/>
      <c r="Y93" s="653"/>
      <c r="Z93" s="653"/>
      <c r="AA93" s="653"/>
      <c r="AB93" s="653"/>
      <c r="AC93" s="653"/>
      <c r="AD93" s="653"/>
      <c r="AE93" s="653"/>
      <c r="AF93" s="653"/>
      <c r="AG93" s="653"/>
      <c r="AH93" s="653"/>
      <c r="AI93" s="653"/>
      <c r="AJ93" s="653"/>
      <c r="AK93" s="653"/>
    </row>
    <row r="94" spans="1:37" s="654" customFormat="1" ht="11.25" x14ac:dyDescent="0.2">
      <c r="A94" s="653"/>
      <c r="B94" s="653"/>
      <c r="C94" s="653"/>
      <c r="D94" s="653"/>
      <c r="E94" s="653"/>
      <c r="F94" s="653"/>
      <c r="G94" s="653"/>
      <c r="H94" s="653"/>
      <c r="I94" s="653"/>
      <c r="J94" s="653"/>
      <c r="K94" s="653"/>
      <c r="L94" s="653"/>
      <c r="M94" s="653"/>
      <c r="N94" s="653"/>
      <c r="O94" s="653"/>
      <c r="P94" s="653"/>
      <c r="Q94" s="653"/>
      <c r="R94" s="653"/>
      <c r="S94" s="653"/>
      <c r="T94" s="653"/>
      <c r="U94" s="653"/>
      <c r="V94" s="653"/>
      <c r="W94" s="653"/>
      <c r="X94" s="653"/>
      <c r="Y94" s="653"/>
      <c r="Z94" s="653"/>
      <c r="AA94" s="653"/>
      <c r="AB94" s="653"/>
      <c r="AC94" s="653"/>
      <c r="AD94" s="653"/>
      <c r="AE94" s="653"/>
      <c r="AF94" s="653"/>
      <c r="AG94" s="653"/>
      <c r="AH94" s="653"/>
      <c r="AI94" s="653"/>
      <c r="AJ94" s="653"/>
      <c r="AK94" s="653"/>
    </row>
    <row r="95" spans="1:37" s="654" customFormat="1" ht="11.25" x14ac:dyDescent="0.2">
      <c r="A95" s="653"/>
      <c r="B95" s="653"/>
      <c r="C95" s="653"/>
      <c r="D95" s="653"/>
      <c r="E95" s="653"/>
      <c r="F95" s="653"/>
      <c r="G95" s="653"/>
      <c r="H95" s="653"/>
      <c r="I95" s="653"/>
      <c r="J95" s="653"/>
      <c r="K95" s="653"/>
      <c r="L95" s="653"/>
      <c r="M95" s="653"/>
      <c r="N95" s="653"/>
      <c r="O95" s="653"/>
      <c r="P95" s="653"/>
      <c r="Q95" s="653"/>
      <c r="R95" s="653"/>
      <c r="S95" s="653"/>
      <c r="T95" s="653"/>
      <c r="U95" s="653"/>
      <c r="V95" s="653"/>
      <c r="W95" s="653"/>
      <c r="X95" s="653"/>
      <c r="Y95" s="653"/>
      <c r="Z95" s="653"/>
      <c r="AA95" s="653"/>
      <c r="AB95" s="653"/>
      <c r="AC95" s="653"/>
      <c r="AD95" s="653"/>
      <c r="AE95" s="653"/>
      <c r="AF95" s="653"/>
      <c r="AG95" s="653"/>
      <c r="AH95" s="653"/>
      <c r="AI95" s="653"/>
      <c r="AJ95" s="653"/>
      <c r="AK95" s="653"/>
    </row>
    <row r="96" spans="1:37" s="654" customFormat="1" ht="11.25" x14ac:dyDescent="0.2">
      <c r="A96" s="653"/>
      <c r="B96" s="653"/>
      <c r="C96" s="653"/>
      <c r="D96" s="653"/>
      <c r="E96" s="653"/>
      <c r="F96" s="653"/>
      <c r="G96" s="653"/>
      <c r="H96" s="653"/>
      <c r="I96" s="653"/>
      <c r="J96" s="653"/>
      <c r="K96" s="653"/>
      <c r="L96" s="653"/>
      <c r="M96" s="653"/>
      <c r="N96" s="653"/>
      <c r="O96" s="653"/>
      <c r="P96" s="653"/>
      <c r="Q96" s="653"/>
      <c r="R96" s="653"/>
      <c r="S96" s="653"/>
      <c r="T96" s="653"/>
      <c r="U96" s="653"/>
      <c r="V96" s="653"/>
      <c r="W96" s="653"/>
      <c r="X96" s="653"/>
      <c r="Y96" s="653"/>
      <c r="Z96" s="653"/>
      <c r="AA96" s="653"/>
      <c r="AB96" s="653"/>
      <c r="AC96" s="653"/>
      <c r="AD96" s="653"/>
      <c r="AE96" s="653"/>
      <c r="AF96" s="653"/>
      <c r="AG96" s="653"/>
      <c r="AH96" s="653"/>
      <c r="AI96" s="653"/>
      <c r="AJ96" s="653"/>
      <c r="AK96" s="653"/>
    </row>
    <row r="97" spans="1:37" s="654" customFormat="1" ht="11.25" x14ac:dyDescent="0.2">
      <c r="A97" s="653"/>
      <c r="B97" s="653"/>
      <c r="C97" s="653"/>
      <c r="D97" s="653"/>
      <c r="E97" s="653"/>
      <c r="F97" s="653"/>
      <c r="G97" s="653"/>
      <c r="H97" s="653"/>
      <c r="I97" s="653"/>
      <c r="J97" s="653"/>
      <c r="K97" s="653"/>
      <c r="L97" s="653"/>
      <c r="M97" s="653"/>
      <c r="N97" s="653"/>
      <c r="O97" s="653"/>
      <c r="P97" s="653"/>
      <c r="Q97" s="653"/>
      <c r="R97" s="653"/>
      <c r="S97" s="653"/>
      <c r="T97" s="653"/>
      <c r="U97" s="653"/>
      <c r="V97" s="653"/>
      <c r="W97" s="653"/>
      <c r="X97" s="653"/>
      <c r="Y97" s="653"/>
      <c r="Z97" s="653"/>
      <c r="AA97" s="653"/>
      <c r="AB97" s="653"/>
      <c r="AC97" s="653"/>
      <c r="AD97" s="653"/>
      <c r="AE97" s="653"/>
      <c r="AF97" s="653"/>
      <c r="AG97" s="653"/>
      <c r="AH97" s="653"/>
      <c r="AI97" s="653"/>
      <c r="AJ97" s="653"/>
      <c r="AK97" s="653"/>
    </row>
    <row r="98" spans="1:37" s="654" customFormat="1" ht="11.25" x14ac:dyDescent="0.2">
      <c r="A98" s="653"/>
      <c r="B98" s="653"/>
      <c r="C98" s="653"/>
      <c r="D98" s="653"/>
      <c r="E98" s="653"/>
      <c r="F98" s="653"/>
      <c r="G98" s="653"/>
      <c r="H98" s="653"/>
      <c r="I98" s="653"/>
      <c r="J98" s="653"/>
      <c r="K98" s="653"/>
      <c r="L98" s="653"/>
      <c r="M98" s="653"/>
      <c r="N98" s="653"/>
      <c r="O98" s="653"/>
      <c r="P98" s="653"/>
      <c r="Q98" s="653"/>
      <c r="R98" s="653"/>
      <c r="S98" s="653"/>
      <c r="T98" s="653"/>
      <c r="U98" s="653"/>
      <c r="V98" s="653"/>
      <c r="W98" s="653"/>
      <c r="X98" s="653"/>
      <c r="Y98" s="653"/>
      <c r="Z98" s="653"/>
      <c r="AA98" s="653"/>
      <c r="AB98" s="653"/>
      <c r="AC98" s="653"/>
      <c r="AD98" s="653"/>
      <c r="AE98" s="653"/>
      <c r="AF98" s="653"/>
      <c r="AG98" s="653"/>
      <c r="AH98" s="653"/>
      <c r="AI98" s="653"/>
      <c r="AJ98" s="653"/>
      <c r="AK98" s="653"/>
    </row>
  </sheetData>
  <hyperlinks>
    <hyperlink ref="AS6" location="Índex!E9" display="Índex"/>
  </hyperlinks>
  <printOptions horizontalCentered="1" gridLinesSet="0"/>
  <pageMargins left="0" right="0" top="0.78740157480314965" bottom="0" header="0" footer="0"/>
  <pageSetup paperSize="9" scale="74" fitToWidth="4" orientation="landscape" r:id="rId1"/>
  <headerFooter alignWithMargins="0">
    <oddHeader>&amp;R&amp;P/&amp;N</oddHeader>
  </headerFooter>
  <colBreaks count="3" manualBreakCount="3">
    <brk id="13" max="31" man="1"/>
    <brk id="25" max="31" man="1"/>
    <brk id="37" max="31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0"/>
  <dimension ref="A1:DP102"/>
  <sheetViews>
    <sheetView showGridLines="0" zoomScaleNormal="100" workbookViewId="0">
      <pane xSplit="1" ySplit="9" topLeftCell="AK10" activePane="bottomRight" state="frozen"/>
      <selection activeCell="E9" sqref="E9"/>
      <selection pane="topRight" activeCell="E9" sqref="E9"/>
      <selection pane="bottomLeft" activeCell="E9" sqref="E9"/>
      <selection pane="bottomRight" activeCell="AS6" sqref="AS6"/>
    </sheetView>
  </sheetViews>
  <sheetFormatPr defaultColWidth="12.5703125" defaultRowHeight="12.75" x14ac:dyDescent="0.2"/>
  <cols>
    <col min="1" max="1" width="60.7109375" style="26" customWidth="1"/>
    <col min="2" max="37" width="10.7109375" style="26" customWidth="1"/>
    <col min="38" max="45" width="10.7109375" style="17" customWidth="1"/>
    <col min="46" max="16384" width="12.5703125" style="17"/>
  </cols>
  <sheetData>
    <row r="1" spans="1:120" s="25" customFormat="1" ht="15" customHeight="1" x14ac:dyDescent="0.2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2"/>
      <c r="AW1" s="62"/>
      <c r="AX1" s="62"/>
      <c r="AY1" s="62"/>
      <c r="AZ1" s="62"/>
      <c r="BA1" s="62"/>
      <c r="BB1" s="62"/>
      <c r="BC1" s="62"/>
      <c r="BD1" s="62"/>
      <c r="BE1" s="62"/>
      <c r="BF1" s="62"/>
      <c r="BG1" s="62"/>
      <c r="BH1" s="62"/>
      <c r="BI1" s="56"/>
      <c r="BJ1" s="56"/>
      <c r="BK1" s="56"/>
      <c r="BL1" s="56"/>
      <c r="BM1" s="56"/>
      <c r="BN1" s="56"/>
      <c r="BO1" s="56"/>
      <c r="BP1" s="56"/>
      <c r="BQ1" s="56"/>
      <c r="BR1" s="56"/>
      <c r="BS1" s="56"/>
      <c r="BT1" s="56"/>
    </row>
    <row r="2" spans="1:120" s="25" customFormat="1" ht="15" customHeight="1" x14ac:dyDescent="0.25">
      <c r="A2" s="56"/>
      <c r="B2" s="199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  <c r="BM2" s="56"/>
      <c r="BN2" s="56"/>
      <c r="BO2" s="56"/>
      <c r="BP2" s="56"/>
      <c r="BQ2" s="56"/>
      <c r="BR2" s="56"/>
      <c r="BS2" s="56"/>
      <c r="BT2" s="56"/>
    </row>
    <row r="3" spans="1:120" s="25" customFormat="1" ht="15" customHeight="1" x14ac:dyDescent="0.25">
      <c r="A3" s="57"/>
      <c r="B3" s="57"/>
      <c r="C3" s="61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7"/>
      <c r="BT3" s="57"/>
    </row>
    <row r="4" spans="1:120" s="25" customFormat="1" ht="15" customHeight="1" x14ac:dyDescent="0.2">
      <c r="A4" s="58" t="s">
        <v>1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166"/>
      <c r="AD4" s="166"/>
      <c r="AE4" s="166"/>
      <c r="AF4" s="166"/>
      <c r="AG4" s="166"/>
      <c r="AH4" s="166"/>
      <c r="AI4" s="166"/>
      <c r="AJ4" s="166"/>
      <c r="AK4" s="166"/>
      <c r="AL4" s="166"/>
      <c r="AM4" s="166"/>
      <c r="AN4" s="166"/>
      <c r="AO4" s="166"/>
      <c r="AP4" s="166"/>
      <c r="AQ4" s="166"/>
      <c r="AR4" s="166"/>
      <c r="AS4" s="166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</row>
    <row r="5" spans="1:120" s="25" customFormat="1" ht="19.5" thickBot="1" x14ac:dyDescent="0.35">
      <c r="A5" s="606" t="s">
        <v>388</v>
      </c>
      <c r="B5" s="397"/>
      <c r="C5" s="397"/>
      <c r="D5" s="397"/>
      <c r="E5" s="397"/>
      <c r="F5" s="397"/>
      <c r="G5" s="397"/>
      <c r="H5" s="397"/>
      <c r="I5" s="397"/>
      <c r="J5" s="397"/>
      <c r="K5" s="397"/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59"/>
      <c r="BQ5" s="59"/>
      <c r="BR5" s="59"/>
      <c r="BS5" s="59"/>
      <c r="BT5" s="59"/>
      <c r="BV5" s="114"/>
      <c r="BZ5" s="114"/>
      <c r="CB5" s="134"/>
      <c r="CE5" s="65"/>
      <c r="CF5" s="136"/>
      <c r="CG5" s="137"/>
      <c r="CH5" s="137"/>
      <c r="CI5" s="135"/>
      <c r="CJ5" s="137"/>
      <c r="CK5" s="137"/>
      <c r="CL5" s="137"/>
      <c r="CM5" s="138"/>
    </row>
    <row r="6" spans="1:120" s="25" customFormat="1" ht="15" customHeight="1" thickTop="1" x14ac:dyDescent="0.2">
      <c r="A6" s="62"/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379"/>
      <c r="AP6" s="400"/>
      <c r="AQ6" s="400"/>
      <c r="AR6" s="400"/>
      <c r="AS6" s="400" t="s">
        <v>662</v>
      </c>
      <c r="AT6" s="62"/>
      <c r="AU6" s="62"/>
      <c r="AV6" s="62"/>
      <c r="AW6" s="62"/>
      <c r="AX6" s="62"/>
      <c r="AY6" s="62"/>
      <c r="AZ6" s="62"/>
      <c r="BA6" s="62"/>
      <c r="BB6" s="62"/>
      <c r="BC6" s="62"/>
      <c r="BD6" s="62"/>
      <c r="BE6" s="62"/>
      <c r="BF6" s="62"/>
      <c r="BG6" s="62"/>
      <c r="BH6" s="62"/>
      <c r="BI6" s="56"/>
      <c r="BJ6" s="56"/>
      <c r="BK6" s="56"/>
      <c r="BL6" s="56"/>
      <c r="BM6" s="56"/>
      <c r="BN6" s="56"/>
      <c r="BO6" s="56"/>
      <c r="BP6" s="56"/>
      <c r="BQ6" s="56"/>
      <c r="BR6" s="56"/>
      <c r="BS6" s="56"/>
      <c r="BT6" s="56"/>
    </row>
    <row r="7" spans="1:120" s="183" customFormat="1" ht="15" customHeight="1" x14ac:dyDescent="0.2">
      <c r="A7" s="182"/>
      <c r="B7" s="396" t="s">
        <v>35</v>
      </c>
      <c r="C7" s="396" t="s">
        <v>36</v>
      </c>
      <c r="D7" s="396" t="s">
        <v>321</v>
      </c>
      <c r="E7" s="396" t="s">
        <v>331</v>
      </c>
      <c r="F7" s="396" t="s">
        <v>37</v>
      </c>
      <c r="G7" s="396" t="s">
        <v>38</v>
      </c>
      <c r="H7" s="396" t="s">
        <v>322</v>
      </c>
      <c r="I7" s="396" t="s">
        <v>332</v>
      </c>
      <c r="J7" s="396" t="s">
        <v>39</v>
      </c>
      <c r="K7" s="396" t="s">
        <v>40</v>
      </c>
      <c r="L7" s="396" t="s">
        <v>323</v>
      </c>
      <c r="M7" s="396" t="s">
        <v>333</v>
      </c>
      <c r="N7" s="396" t="s">
        <v>41</v>
      </c>
      <c r="O7" s="396" t="s">
        <v>42</v>
      </c>
      <c r="P7" s="396" t="s">
        <v>324</v>
      </c>
      <c r="Q7" s="396" t="s">
        <v>334</v>
      </c>
      <c r="R7" s="396" t="s">
        <v>43</v>
      </c>
      <c r="S7" s="396" t="s">
        <v>44</v>
      </c>
      <c r="T7" s="396" t="s">
        <v>325</v>
      </c>
      <c r="U7" s="396" t="s">
        <v>335</v>
      </c>
      <c r="V7" s="396" t="s">
        <v>45</v>
      </c>
      <c r="W7" s="396" t="s">
        <v>46</v>
      </c>
      <c r="X7" s="396" t="s">
        <v>326</v>
      </c>
      <c r="Y7" s="396" t="s">
        <v>336</v>
      </c>
      <c r="Z7" s="396" t="s">
        <v>47</v>
      </c>
      <c r="AA7" s="396" t="s">
        <v>48</v>
      </c>
      <c r="AB7" s="396" t="s">
        <v>327</v>
      </c>
      <c r="AC7" s="396" t="s">
        <v>337</v>
      </c>
      <c r="AD7" s="396" t="s">
        <v>49</v>
      </c>
      <c r="AE7" s="396" t="s">
        <v>50</v>
      </c>
      <c r="AF7" s="396" t="s">
        <v>328</v>
      </c>
      <c r="AG7" s="396" t="s">
        <v>338</v>
      </c>
      <c r="AH7" s="396" t="s">
        <v>51</v>
      </c>
      <c r="AI7" s="396" t="s">
        <v>52</v>
      </c>
      <c r="AJ7" s="396" t="s">
        <v>329</v>
      </c>
      <c r="AK7" s="396" t="s">
        <v>339</v>
      </c>
      <c r="AL7" s="396" t="s">
        <v>53</v>
      </c>
      <c r="AM7" s="396" t="s">
        <v>54</v>
      </c>
      <c r="AN7" s="396" t="s">
        <v>330</v>
      </c>
      <c r="AO7" s="396" t="s">
        <v>340</v>
      </c>
      <c r="AP7" s="414" t="s">
        <v>71</v>
      </c>
      <c r="AQ7" s="591" t="s">
        <v>374</v>
      </c>
      <c r="AR7" s="664" t="s">
        <v>376</v>
      </c>
      <c r="AS7" s="664" t="s">
        <v>399</v>
      </c>
    </row>
    <row r="8" spans="1:120" s="178" customFormat="1" ht="9.9499999999999993" customHeight="1" x14ac:dyDescent="0.2">
      <c r="A8" s="184"/>
      <c r="B8" s="158"/>
      <c r="C8" s="158"/>
      <c r="D8" s="158"/>
      <c r="E8" s="158"/>
      <c r="F8" s="158"/>
      <c r="G8" s="158"/>
      <c r="H8" s="158"/>
      <c r="I8" s="158"/>
      <c r="J8" s="158"/>
      <c r="K8" s="158"/>
      <c r="L8" s="158"/>
      <c r="M8" s="158"/>
      <c r="N8" s="158"/>
      <c r="O8" s="158"/>
      <c r="P8" s="158"/>
      <c r="Q8" s="158"/>
      <c r="R8" s="158"/>
      <c r="S8" s="158"/>
      <c r="T8" s="158"/>
      <c r="U8" s="158"/>
      <c r="V8" s="158"/>
      <c r="W8" s="158"/>
      <c r="X8" s="158"/>
      <c r="Y8" s="158"/>
      <c r="Z8" s="158"/>
      <c r="AA8" s="158"/>
      <c r="AB8" s="158"/>
      <c r="AC8" s="158"/>
      <c r="AD8" s="158"/>
      <c r="AE8" s="158"/>
      <c r="AF8" s="158"/>
      <c r="AG8" s="158"/>
      <c r="AH8" s="158"/>
      <c r="AI8" s="158"/>
      <c r="AJ8" s="158"/>
      <c r="AK8" s="158"/>
      <c r="AL8" s="158"/>
      <c r="AM8" s="158"/>
      <c r="AN8" s="158"/>
      <c r="AO8" s="158"/>
      <c r="AP8" s="158"/>
      <c r="AQ8" s="158"/>
      <c r="AR8" s="158"/>
      <c r="AS8" s="158"/>
      <c r="AT8" s="191"/>
      <c r="AU8" s="191"/>
      <c r="AV8" s="191"/>
      <c r="AW8" s="191"/>
      <c r="AX8" s="191"/>
      <c r="AY8" s="191"/>
      <c r="AZ8" s="191"/>
      <c r="BA8" s="191"/>
      <c r="BB8" s="191"/>
      <c r="BC8" s="191"/>
      <c r="BD8" s="191"/>
      <c r="BE8" s="191"/>
      <c r="BF8" s="191"/>
      <c r="BG8" s="191"/>
      <c r="BH8" s="191"/>
      <c r="BI8" s="191"/>
      <c r="BJ8" s="191"/>
      <c r="BK8" s="191"/>
      <c r="BL8" s="191"/>
      <c r="BM8" s="191"/>
      <c r="BN8" s="191"/>
      <c r="BO8" s="191"/>
      <c r="BP8" s="191"/>
      <c r="BQ8" s="191"/>
      <c r="BR8" s="191"/>
      <c r="BS8" s="191"/>
      <c r="BT8" s="191"/>
      <c r="BU8" s="191"/>
      <c r="BV8" s="191"/>
      <c r="BW8" s="191"/>
      <c r="BX8" s="191"/>
      <c r="BY8" s="191"/>
      <c r="BZ8" s="191"/>
      <c r="CA8" s="191"/>
      <c r="CB8" s="191"/>
    </row>
    <row r="9" spans="1:120" s="178" customFormat="1" ht="5.0999999999999996" customHeight="1" x14ac:dyDescent="0.2">
      <c r="A9" s="203"/>
      <c r="B9" s="203"/>
      <c r="C9" s="203"/>
      <c r="D9" s="203"/>
      <c r="E9" s="203"/>
      <c r="F9" s="203"/>
      <c r="G9" s="203"/>
      <c r="H9" s="203"/>
      <c r="I9" s="203"/>
      <c r="J9" s="203"/>
      <c r="K9" s="203"/>
      <c r="L9" s="203"/>
      <c r="M9" s="203"/>
      <c r="N9" s="203"/>
      <c r="O9" s="203"/>
      <c r="P9" s="203"/>
      <c r="Q9" s="203"/>
      <c r="R9" s="203"/>
      <c r="S9" s="203"/>
      <c r="T9" s="203"/>
      <c r="U9" s="203"/>
      <c r="V9" s="203"/>
      <c r="W9" s="203"/>
      <c r="X9" s="203"/>
      <c r="Y9" s="203"/>
      <c r="Z9" s="203"/>
      <c r="AA9" s="203"/>
      <c r="AB9" s="203"/>
      <c r="AC9" s="203"/>
      <c r="AD9" s="203"/>
      <c r="AE9" s="203"/>
      <c r="AF9" s="203"/>
      <c r="AG9" s="203"/>
      <c r="AH9" s="203"/>
      <c r="AI9" s="203"/>
      <c r="AJ9" s="203"/>
      <c r="AK9" s="203"/>
      <c r="AL9" s="203"/>
      <c r="AM9" s="203"/>
      <c r="AN9" s="203"/>
      <c r="AO9" s="203"/>
      <c r="AP9" s="203"/>
      <c r="AQ9" s="203"/>
      <c r="AR9" s="203"/>
      <c r="AS9" s="203"/>
    </row>
    <row r="10" spans="1:120" s="192" customFormat="1" ht="15" customHeight="1" x14ac:dyDescent="0.2">
      <c r="A10" s="435" t="s">
        <v>101</v>
      </c>
      <c r="B10" s="160">
        <f t="shared" ref="B10:AO10" si="0">SUM(B11:B19)</f>
        <v>45866</v>
      </c>
      <c r="C10" s="160">
        <f t="shared" si="0"/>
        <v>49388</v>
      </c>
      <c r="D10" s="160">
        <f t="shared" si="0"/>
        <v>53959</v>
      </c>
      <c r="E10" s="160">
        <f t="shared" si="0"/>
        <v>58716</v>
      </c>
      <c r="F10" s="160">
        <f t="shared" si="0"/>
        <v>61642</v>
      </c>
      <c r="G10" s="160">
        <f t="shared" si="0"/>
        <v>64889</v>
      </c>
      <c r="H10" s="210">
        <f t="shared" si="0"/>
        <v>68788</v>
      </c>
      <c r="I10" s="210">
        <f t="shared" si="0"/>
        <v>72603</v>
      </c>
      <c r="J10" s="210">
        <f t="shared" si="0"/>
        <v>72507</v>
      </c>
      <c r="K10" s="210">
        <f t="shared" si="0"/>
        <v>73193</v>
      </c>
      <c r="L10" s="210">
        <f t="shared" si="0"/>
        <v>74228</v>
      </c>
      <c r="M10" s="210">
        <f t="shared" si="0"/>
        <v>80922</v>
      </c>
      <c r="N10" s="211">
        <f t="shared" si="0"/>
        <v>84729</v>
      </c>
      <c r="O10" s="211">
        <f t="shared" si="0"/>
        <v>88322</v>
      </c>
      <c r="P10" s="211">
        <f t="shared" si="0"/>
        <v>91654</v>
      </c>
      <c r="Q10" s="211">
        <f t="shared" si="0"/>
        <v>96884</v>
      </c>
      <c r="R10" s="211">
        <f t="shared" si="0"/>
        <v>98738</v>
      </c>
      <c r="S10" s="211">
        <f t="shared" si="0"/>
        <v>101462</v>
      </c>
      <c r="T10" s="211">
        <f t="shared" si="0"/>
        <v>103901</v>
      </c>
      <c r="U10" s="211">
        <f t="shared" si="0"/>
        <v>106972</v>
      </c>
      <c r="V10" s="211">
        <f t="shared" si="0"/>
        <v>108322</v>
      </c>
      <c r="W10" s="211">
        <f t="shared" si="0"/>
        <v>110952</v>
      </c>
      <c r="X10" s="211">
        <f t="shared" si="0"/>
        <v>113309</v>
      </c>
      <c r="Y10" s="211">
        <f t="shared" si="0"/>
        <v>116405</v>
      </c>
      <c r="Z10" s="211">
        <f t="shared" si="0"/>
        <v>118263</v>
      </c>
      <c r="AA10" s="211">
        <f t="shared" si="0"/>
        <v>122571</v>
      </c>
      <c r="AB10" s="211">
        <f t="shared" si="0"/>
        <v>126116</v>
      </c>
      <c r="AC10" s="211">
        <f t="shared" si="0"/>
        <v>130750</v>
      </c>
      <c r="AD10" s="211">
        <f t="shared" si="0"/>
        <v>132652</v>
      </c>
      <c r="AE10" s="211">
        <f t="shared" si="0"/>
        <v>135068</v>
      </c>
      <c r="AF10" s="211">
        <f t="shared" si="0"/>
        <v>138028</v>
      </c>
      <c r="AG10" s="211">
        <f t="shared" si="0"/>
        <v>141432</v>
      </c>
      <c r="AH10" s="211">
        <f t="shared" si="0"/>
        <v>142051</v>
      </c>
      <c r="AI10" s="211">
        <f t="shared" si="0"/>
        <v>143461</v>
      </c>
      <c r="AJ10" s="211">
        <f t="shared" si="0"/>
        <v>145234</v>
      </c>
      <c r="AK10" s="211">
        <f t="shared" si="0"/>
        <v>147749</v>
      </c>
      <c r="AL10" s="211">
        <f t="shared" si="0"/>
        <v>147759</v>
      </c>
      <c r="AM10" s="211">
        <f t="shared" si="0"/>
        <v>148919</v>
      </c>
      <c r="AN10" s="211">
        <f t="shared" si="0"/>
        <v>171066.7</v>
      </c>
      <c r="AO10" s="211">
        <f t="shared" si="0"/>
        <v>172045</v>
      </c>
      <c r="AP10" s="211">
        <f t="shared" ref="AP10:AQ10" si="1">SUM(AP11:AP19)</f>
        <v>171820</v>
      </c>
      <c r="AQ10" s="211">
        <f t="shared" si="1"/>
        <v>172045</v>
      </c>
      <c r="AR10" s="211">
        <f t="shared" ref="AR10:AS10" si="2">SUM(AR11:AR19)</f>
        <v>172207</v>
      </c>
      <c r="AS10" s="212">
        <f t="shared" si="2"/>
        <v>175469</v>
      </c>
    </row>
    <row r="11" spans="1:120" s="164" customFormat="1" ht="15" customHeight="1" x14ac:dyDescent="0.2">
      <c r="A11" s="434" t="s">
        <v>392</v>
      </c>
      <c r="B11" s="166">
        <v>9585</v>
      </c>
      <c r="C11" s="166">
        <v>10143</v>
      </c>
      <c r="D11" s="166">
        <v>11434</v>
      </c>
      <c r="E11" s="166">
        <v>11990</v>
      </c>
      <c r="F11" s="166">
        <v>12504</v>
      </c>
      <c r="G11" s="166">
        <v>12545</v>
      </c>
      <c r="H11" s="166">
        <v>12705</v>
      </c>
      <c r="I11" s="166">
        <v>12793</v>
      </c>
      <c r="J11" s="166">
        <v>13314</v>
      </c>
      <c r="K11" s="166">
        <v>14199</v>
      </c>
      <c r="L11" s="166">
        <v>14668</v>
      </c>
      <c r="M11" s="166">
        <v>16272</v>
      </c>
      <c r="N11" s="166">
        <v>18742</v>
      </c>
      <c r="O11" s="166">
        <v>21040</v>
      </c>
      <c r="P11" s="166">
        <v>22762</v>
      </c>
      <c r="Q11" s="166">
        <v>24119</v>
      </c>
      <c r="R11" s="166">
        <v>25814</v>
      </c>
      <c r="S11" s="166">
        <v>27122</v>
      </c>
      <c r="T11" s="166">
        <v>28057</v>
      </c>
      <c r="U11" s="166">
        <v>28506</v>
      </c>
      <c r="V11" s="166">
        <v>29850</v>
      </c>
      <c r="W11" s="166">
        <v>31478</v>
      </c>
      <c r="X11" s="166">
        <v>32714</v>
      </c>
      <c r="Y11" s="166">
        <v>33665</v>
      </c>
      <c r="Z11" s="166">
        <v>35802</v>
      </c>
      <c r="AA11" s="166">
        <v>38353</v>
      </c>
      <c r="AB11" s="166">
        <v>40644</v>
      </c>
      <c r="AC11" s="166">
        <v>43262</v>
      </c>
      <c r="AD11" s="166">
        <v>44702</v>
      </c>
      <c r="AE11" s="166">
        <v>45421</v>
      </c>
      <c r="AF11" s="166">
        <v>45978</v>
      </c>
      <c r="AG11" s="166">
        <v>45973</v>
      </c>
      <c r="AH11" s="166">
        <v>47379</v>
      </c>
      <c r="AI11" s="166">
        <v>48535</v>
      </c>
      <c r="AJ11" s="166">
        <v>49567</v>
      </c>
      <c r="AK11" s="166">
        <v>49766</v>
      </c>
      <c r="AL11" s="166">
        <v>50722</v>
      </c>
      <c r="AM11" s="166">
        <v>51470</v>
      </c>
      <c r="AN11" s="166">
        <v>56756</v>
      </c>
      <c r="AO11" s="166">
        <v>57241</v>
      </c>
      <c r="AP11" s="166">
        <v>57698</v>
      </c>
      <c r="AQ11" s="166">
        <v>58411</v>
      </c>
      <c r="AR11" s="166">
        <v>59673</v>
      </c>
      <c r="AS11" s="374">
        <v>60845</v>
      </c>
      <c r="AT11" s="166"/>
      <c r="AU11" s="166"/>
      <c r="AV11" s="166"/>
      <c r="AW11" s="166"/>
      <c r="AX11" s="166"/>
      <c r="AY11" s="166"/>
      <c r="AZ11" s="166"/>
      <c r="BA11" s="166"/>
      <c r="BB11" s="166"/>
      <c r="BC11" s="166"/>
      <c r="BD11" s="166"/>
      <c r="BE11" s="166"/>
      <c r="BF11" s="166"/>
      <c r="BG11" s="166"/>
      <c r="BH11" s="166"/>
      <c r="BI11" s="166"/>
      <c r="BJ11" s="166"/>
      <c r="BK11" s="166"/>
      <c r="BL11" s="166"/>
      <c r="BM11" s="166"/>
      <c r="BN11" s="166"/>
      <c r="BO11" s="166"/>
      <c r="BP11" s="166"/>
      <c r="BQ11" s="166"/>
      <c r="BR11" s="166"/>
      <c r="BS11" s="166"/>
      <c r="BT11" s="166"/>
      <c r="BU11" s="166"/>
      <c r="BV11" s="166"/>
      <c r="BW11" s="166"/>
      <c r="BX11" s="166"/>
      <c r="BY11" s="166"/>
      <c r="BZ11" s="166"/>
      <c r="CA11" s="166"/>
      <c r="CB11" s="166"/>
      <c r="CC11" s="166"/>
      <c r="CD11" s="166"/>
      <c r="CE11" s="166"/>
      <c r="CF11" s="166"/>
      <c r="CG11" s="166"/>
      <c r="CH11" s="166"/>
      <c r="CI11" s="166"/>
      <c r="CJ11" s="166"/>
      <c r="CK11" s="166"/>
      <c r="CL11" s="166"/>
      <c r="CM11" s="166"/>
      <c r="CN11" s="166"/>
      <c r="CO11" s="166"/>
      <c r="CP11" s="166"/>
      <c r="CQ11" s="166"/>
      <c r="CR11" s="166"/>
      <c r="CS11" s="166"/>
      <c r="CT11" s="166"/>
      <c r="CU11" s="166"/>
      <c r="CV11" s="166"/>
      <c r="CW11" s="166"/>
      <c r="CX11" s="166"/>
      <c r="CY11" s="166"/>
      <c r="CZ11" s="166"/>
      <c r="DA11" s="166"/>
      <c r="DB11" s="166"/>
      <c r="DC11" s="166"/>
      <c r="DD11" s="166"/>
      <c r="DE11" s="166"/>
      <c r="DF11" s="166"/>
      <c r="DG11" s="166"/>
      <c r="DH11" s="166"/>
      <c r="DI11" s="166"/>
      <c r="DJ11" s="166"/>
      <c r="DK11" s="166"/>
      <c r="DL11" s="166"/>
      <c r="DM11" s="166"/>
      <c r="DN11" s="166"/>
      <c r="DO11" s="166"/>
      <c r="DP11" s="167"/>
    </row>
    <row r="12" spans="1:120" s="164" customFormat="1" ht="15" customHeight="1" x14ac:dyDescent="0.2">
      <c r="A12" s="434" t="s">
        <v>393</v>
      </c>
      <c r="B12" s="165">
        <v>5913</v>
      </c>
      <c r="C12" s="165">
        <v>6711</v>
      </c>
      <c r="D12" s="165">
        <v>7012</v>
      </c>
      <c r="E12" s="165">
        <v>8078</v>
      </c>
      <c r="F12" s="165">
        <v>7970</v>
      </c>
      <c r="G12" s="165">
        <v>8208</v>
      </c>
      <c r="H12" s="166">
        <v>8345</v>
      </c>
      <c r="I12" s="166">
        <v>9216</v>
      </c>
      <c r="J12" s="166">
        <v>8682</v>
      </c>
      <c r="K12" s="166">
        <v>8972</v>
      </c>
      <c r="L12" s="166">
        <v>9386</v>
      </c>
      <c r="M12" s="166">
        <v>14085</v>
      </c>
      <c r="N12" s="166">
        <v>13704</v>
      </c>
      <c r="O12" s="166">
        <v>14576</v>
      </c>
      <c r="P12" s="166">
        <v>14617</v>
      </c>
      <c r="Q12" s="166">
        <v>16605</v>
      </c>
      <c r="R12" s="166">
        <v>15808</v>
      </c>
      <c r="S12" s="166">
        <v>16363</v>
      </c>
      <c r="T12" s="166">
        <v>16617</v>
      </c>
      <c r="U12" s="166">
        <v>17734</v>
      </c>
      <c r="V12" s="166">
        <v>16929</v>
      </c>
      <c r="W12" s="166">
        <v>17654</v>
      </c>
      <c r="X12" s="166">
        <v>17973</v>
      </c>
      <c r="Y12" s="166">
        <v>20077</v>
      </c>
      <c r="Z12" s="166">
        <v>19420</v>
      </c>
      <c r="AA12" s="166">
        <v>20316</v>
      </c>
      <c r="AB12" s="166">
        <v>21036</v>
      </c>
      <c r="AC12" s="166">
        <v>23915</v>
      </c>
      <c r="AD12" s="166">
        <v>23290</v>
      </c>
      <c r="AE12" s="166">
        <v>23793</v>
      </c>
      <c r="AF12" s="166">
        <v>24273</v>
      </c>
      <c r="AG12" s="166">
        <v>26233</v>
      </c>
      <c r="AH12" s="166">
        <v>24586</v>
      </c>
      <c r="AI12" s="166">
        <v>25411</v>
      </c>
      <c r="AJ12" s="166">
        <v>25969</v>
      </c>
      <c r="AK12" s="166">
        <v>28592</v>
      </c>
      <c r="AL12" s="166">
        <v>27566</v>
      </c>
      <c r="AM12" s="166">
        <v>28757</v>
      </c>
      <c r="AN12" s="166">
        <v>33469</v>
      </c>
      <c r="AO12" s="166">
        <v>35622</v>
      </c>
      <c r="AP12" s="166">
        <v>34018</v>
      </c>
      <c r="AQ12" s="166">
        <v>33525</v>
      </c>
      <c r="AR12" s="166">
        <v>32867</v>
      </c>
      <c r="AS12" s="374">
        <v>34437</v>
      </c>
      <c r="AT12" s="166"/>
      <c r="AU12" s="166"/>
      <c r="AV12" s="166"/>
      <c r="AW12" s="166"/>
      <c r="AX12" s="166"/>
      <c r="AY12" s="166"/>
      <c r="AZ12" s="166"/>
      <c r="BA12" s="166"/>
      <c r="BB12" s="166"/>
      <c r="BC12" s="166"/>
      <c r="BD12" s="166"/>
      <c r="BE12" s="166"/>
      <c r="BF12" s="166"/>
      <c r="BG12" s="166"/>
      <c r="BH12" s="166"/>
      <c r="BI12" s="166"/>
      <c r="BJ12" s="166"/>
      <c r="BK12" s="166"/>
      <c r="BL12" s="166"/>
      <c r="BM12" s="166"/>
      <c r="BN12" s="166"/>
      <c r="BO12" s="166"/>
      <c r="BP12" s="166"/>
      <c r="BQ12" s="166"/>
      <c r="BR12" s="166"/>
      <c r="BS12" s="166"/>
      <c r="BT12" s="166"/>
      <c r="BU12" s="166"/>
      <c r="BV12" s="166"/>
      <c r="BW12" s="166"/>
      <c r="BX12" s="166"/>
      <c r="BY12" s="166"/>
      <c r="BZ12" s="166"/>
      <c r="CA12" s="166"/>
      <c r="CB12" s="166"/>
      <c r="CC12" s="166"/>
      <c r="CD12" s="166"/>
      <c r="CE12" s="166"/>
      <c r="CF12" s="166"/>
      <c r="CG12" s="166"/>
      <c r="CH12" s="166"/>
      <c r="CI12" s="166"/>
      <c r="CJ12" s="166"/>
      <c r="CK12" s="166"/>
      <c r="CL12" s="166"/>
      <c r="CM12" s="166"/>
      <c r="CN12" s="166"/>
      <c r="CO12" s="166"/>
      <c r="CP12" s="166"/>
      <c r="CQ12" s="166"/>
      <c r="CR12" s="166"/>
      <c r="CS12" s="166"/>
      <c r="CT12" s="166"/>
      <c r="CU12" s="166"/>
      <c r="CV12" s="166"/>
      <c r="CW12" s="166"/>
      <c r="CX12" s="166"/>
      <c r="CY12" s="166"/>
      <c r="CZ12" s="166"/>
      <c r="DA12" s="166"/>
      <c r="DB12" s="166"/>
      <c r="DC12" s="166"/>
      <c r="DD12" s="166"/>
      <c r="DE12" s="166"/>
      <c r="DF12" s="166"/>
      <c r="DG12" s="166"/>
      <c r="DH12" s="166"/>
      <c r="DI12" s="166"/>
      <c r="DJ12" s="166"/>
      <c r="DK12" s="166"/>
      <c r="DL12" s="166"/>
      <c r="DM12" s="166"/>
      <c r="DN12" s="166"/>
      <c r="DO12" s="166"/>
      <c r="DP12" s="167"/>
    </row>
    <row r="13" spans="1:120" s="164" customFormat="1" ht="15" customHeight="1" x14ac:dyDescent="0.2">
      <c r="A13" s="139" t="s">
        <v>394</v>
      </c>
      <c r="B13" s="165">
        <v>2602</v>
      </c>
      <c r="C13" s="165">
        <v>2771</v>
      </c>
      <c r="D13" s="165">
        <v>2891</v>
      </c>
      <c r="E13" s="165">
        <v>3101</v>
      </c>
      <c r="F13" s="165">
        <v>3325</v>
      </c>
      <c r="G13" s="165">
        <v>3587</v>
      </c>
      <c r="H13" s="166">
        <v>3852</v>
      </c>
      <c r="I13" s="166">
        <v>4138</v>
      </c>
      <c r="J13" s="166">
        <v>4080</v>
      </c>
      <c r="K13" s="166">
        <v>4313</v>
      </c>
      <c r="L13" s="166">
        <v>4697</v>
      </c>
      <c r="M13" s="166">
        <v>5224</v>
      </c>
      <c r="N13" s="166">
        <v>5533</v>
      </c>
      <c r="O13" s="166">
        <v>6091</v>
      </c>
      <c r="P13" s="166">
        <v>6803</v>
      </c>
      <c r="Q13" s="166">
        <v>7465</v>
      </c>
      <c r="R13" s="166">
        <v>8174</v>
      </c>
      <c r="S13" s="166">
        <v>9035</v>
      </c>
      <c r="T13" s="166">
        <v>10076</v>
      </c>
      <c r="U13" s="166">
        <v>11104</v>
      </c>
      <c r="V13" s="166">
        <v>11905</v>
      </c>
      <c r="W13" s="166">
        <v>12731</v>
      </c>
      <c r="X13" s="166">
        <v>13512</v>
      </c>
      <c r="Y13" s="166">
        <v>14194</v>
      </c>
      <c r="Z13" s="166">
        <v>14841</v>
      </c>
      <c r="AA13" s="166">
        <v>15855</v>
      </c>
      <c r="AB13" s="166">
        <v>16482</v>
      </c>
      <c r="AC13" s="166">
        <v>13602</v>
      </c>
      <c r="AD13" s="166">
        <v>14521</v>
      </c>
      <c r="AE13" s="166">
        <v>15564</v>
      </c>
      <c r="AF13" s="166">
        <v>16730</v>
      </c>
      <c r="AG13" s="166">
        <v>17919</v>
      </c>
      <c r="AH13" s="166">
        <v>18778</v>
      </c>
      <c r="AI13" s="166">
        <v>19668</v>
      </c>
      <c r="AJ13" s="166">
        <v>21181</v>
      </c>
      <c r="AK13" s="166">
        <v>22781</v>
      </c>
      <c r="AL13" s="166">
        <v>23839</v>
      </c>
      <c r="AM13" s="166">
        <v>24674</v>
      </c>
      <c r="AN13" s="166">
        <v>31719</v>
      </c>
      <c r="AO13" s="166">
        <v>32298</v>
      </c>
      <c r="AP13" s="166">
        <v>32589</v>
      </c>
      <c r="AQ13" s="166">
        <v>32926</v>
      </c>
      <c r="AR13" s="166">
        <v>33305</v>
      </c>
      <c r="AS13" s="374">
        <v>33687</v>
      </c>
      <c r="AT13" s="166"/>
      <c r="AU13" s="166"/>
      <c r="AV13" s="166"/>
      <c r="AW13" s="166"/>
      <c r="AX13" s="166"/>
      <c r="AY13" s="166"/>
      <c r="AZ13" s="166"/>
      <c r="BA13" s="166"/>
      <c r="BB13" s="166"/>
      <c r="BC13" s="166"/>
      <c r="BD13" s="166"/>
      <c r="BE13" s="166"/>
      <c r="BF13" s="166"/>
      <c r="BG13" s="166"/>
      <c r="BH13" s="166"/>
      <c r="BI13" s="166"/>
      <c r="BJ13" s="166"/>
      <c r="BK13" s="166"/>
      <c r="BL13" s="166"/>
      <c r="BM13" s="166"/>
      <c r="BN13" s="166"/>
      <c r="BO13" s="166"/>
      <c r="BP13" s="166"/>
      <c r="BQ13" s="166"/>
      <c r="BR13" s="166"/>
      <c r="BS13" s="166"/>
      <c r="BT13" s="166"/>
      <c r="BU13" s="166"/>
      <c r="BV13" s="166"/>
      <c r="BW13" s="166"/>
      <c r="BX13" s="166"/>
      <c r="BY13" s="166"/>
      <c r="BZ13" s="166"/>
      <c r="CA13" s="166"/>
      <c r="CB13" s="166"/>
      <c r="CC13" s="166"/>
      <c r="CD13" s="166"/>
      <c r="CE13" s="166"/>
      <c r="CF13" s="166"/>
      <c r="CG13" s="166"/>
      <c r="CH13" s="166"/>
      <c r="CI13" s="166"/>
      <c r="CJ13" s="166"/>
      <c r="CK13" s="166"/>
      <c r="CL13" s="166"/>
      <c r="CM13" s="166"/>
      <c r="CN13" s="166"/>
      <c r="CO13" s="166"/>
      <c r="CP13" s="166"/>
      <c r="CQ13" s="166"/>
      <c r="CR13" s="166"/>
      <c r="CS13" s="166"/>
      <c r="CT13" s="166"/>
      <c r="CU13" s="166"/>
      <c r="CV13" s="166"/>
      <c r="CW13" s="166"/>
      <c r="CX13" s="166"/>
      <c r="CY13" s="166"/>
      <c r="CZ13" s="166"/>
      <c r="DA13" s="166"/>
      <c r="DB13" s="166"/>
      <c r="DC13" s="166"/>
      <c r="DD13" s="166"/>
      <c r="DE13" s="166"/>
      <c r="DF13" s="166"/>
      <c r="DG13" s="166"/>
      <c r="DH13" s="166"/>
      <c r="DI13" s="166"/>
      <c r="DJ13" s="166"/>
      <c r="DK13" s="166"/>
      <c r="DL13" s="166"/>
      <c r="DM13" s="166"/>
      <c r="DN13" s="166"/>
      <c r="DO13" s="166"/>
      <c r="DP13" s="167"/>
    </row>
    <row r="14" spans="1:120" s="164" customFormat="1" ht="15" customHeight="1" x14ac:dyDescent="0.2">
      <c r="A14" s="139" t="s">
        <v>341</v>
      </c>
      <c r="B14" s="165">
        <v>20083</v>
      </c>
      <c r="C14" s="165">
        <v>21743</v>
      </c>
      <c r="D14" s="165">
        <v>23955</v>
      </c>
      <c r="E14" s="165">
        <v>26641</v>
      </c>
      <c r="F14" s="165">
        <v>28389</v>
      </c>
      <c r="G14" s="165">
        <v>30377</v>
      </c>
      <c r="H14" s="166">
        <v>32790</v>
      </c>
      <c r="I14" s="166">
        <v>33564</v>
      </c>
      <c r="J14" s="166">
        <v>33521</v>
      </c>
      <c r="K14" s="166">
        <v>33094</v>
      </c>
      <c r="L14" s="166">
        <v>32653</v>
      </c>
      <c r="M14" s="166">
        <v>32222</v>
      </c>
      <c r="N14" s="166">
        <v>33038</v>
      </c>
      <c r="O14" s="166">
        <v>32630</v>
      </c>
      <c r="P14" s="166">
        <v>32747</v>
      </c>
      <c r="Q14" s="166">
        <v>33707</v>
      </c>
      <c r="R14" s="166">
        <v>33305</v>
      </c>
      <c r="S14" s="166">
        <v>33124</v>
      </c>
      <c r="T14" s="166">
        <v>32822</v>
      </c>
      <c r="U14" s="166">
        <v>33214</v>
      </c>
      <c r="V14" s="166">
        <v>32747</v>
      </c>
      <c r="W14" s="166">
        <v>32361</v>
      </c>
      <c r="X14" s="166">
        <v>32025</v>
      </c>
      <c r="Y14" s="166">
        <v>31283</v>
      </c>
      <c r="Z14" s="166">
        <v>30242</v>
      </c>
      <c r="AA14" s="166">
        <v>29385</v>
      </c>
      <c r="AB14" s="166">
        <v>28286</v>
      </c>
      <c r="AC14" s="166">
        <v>27251</v>
      </c>
      <c r="AD14" s="166">
        <v>26030</v>
      </c>
      <c r="AE14" s="166">
        <v>25248</v>
      </c>
      <c r="AF14" s="166">
        <v>25043</v>
      </c>
      <c r="AG14" s="166">
        <v>24858</v>
      </c>
      <c r="AH14" s="166">
        <v>23953</v>
      </c>
      <c r="AI14" s="166">
        <v>23166</v>
      </c>
      <c r="AJ14" s="166">
        <v>22483</v>
      </c>
      <c r="AK14" s="166">
        <v>21689</v>
      </c>
      <c r="AL14" s="166">
        <v>20654</v>
      </c>
      <c r="AM14" s="166">
        <v>19662</v>
      </c>
      <c r="AN14" s="166">
        <v>20513</v>
      </c>
      <c r="AO14" s="166">
        <v>19952</v>
      </c>
      <c r="AP14" s="166">
        <v>19526</v>
      </c>
      <c r="AQ14" s="166">
        <v>19470</v>
      </c>
      <c r="AR14" s="166">
        <v>19851</v>
      </c>
      <c r="AS14" s="374">
        <v>20784</v>
      </c>
      <c r="AT14" s="166"/>
      <c r="AU14" s="166"/>
      <c r="AV14" s="166"/>
      <c r="AW14" s="166"/>
      <c r="AX14" s="166"/>
      <c r="AY14" s="166"/>
      <c r="AZ14" s="166"/>
      <c r="BA14" s="166"/>
      <c r="BB14" s="166"/>
      <c r="BC14" s="166"/>
      <c r="BD14" s="166"/>
      <c r="BE14" s="166"/>
      <c r="BF14" s="166"/>
      <c r="BG14" s="166"/>
      <c r="BH14" s="166"/>
      <c r="BI14" s="166"/>
      <c r="BJ14" s="166"/>
      <c r="BK14" s="166"/>
      <c r="BL14" s="166"/>
      <c r="BM14" s="166"/>
      <c r="BN14" s="166"/>
      <c r="BO14" s="166"/>
      <c r="BP14" s="166"/>
      <c r="BQ14" s="166"/>
      <c r="BR14" s="166"/>
      <c r="BS14" s="166"/>
      <c r="BT14" s="166"/>
      <c r="BU14" s="166"/>
      <c r="BV14" s="166"/>
      <c r="BW14" s="166"/>
      <c r="BX14" s="166"/>
      <c r="BY14" s="166"/>
      <c r="BZ14" s="166"/>
      <c r="CA14" s="166"/>
      <c r="CB14" s="166"/>
      <c r="CC14" s="166"/>
      <c r="CD14" s="166"/>
      <c r="CE14" s="166"/>
      <c r="CF14" s="166"/>
      <c r="CG14" s="166"/>
      <c r="CH14" s="166"/>
      <c r="CI14" s="166"/>
      <c r="CJ14" s="166"/>
      <c r="CK14" s="166"/>
      <c r="CL14" s="166"/>
      <c r="CM14" s="166"/>
      <c r="CN14" s="166"/>
      <c r="CO14" s="166"/>
      <c r="CP14" s="166"/>
      <c r="CQ14" s="166"/>
      <c r="CR14" s="166"/>
      <c r="CS14" s="166"/>
      <c r="CT14" s="166"/>
      <c r="CU14" s="166"/>
      <c r="CV14" s="166"/>
      <c r="CW14" s="166"/>
      <c r="CX14" s="166"/>
      <c r="CY14" s="166"/>
      <c r="CZ14" s="166"/>
      <c r="DA14" s="166"/>
      <c r="DB14" s="166"/>
      <c r="DC14" s="166"/>
      <c r="DD14" s="166"/>
      <c r="DE14" s="166"/>
      <c r="DF14" s="166"/>
      <c r="DG14" s="166"/>
      <c r="DH14" s="166"/>
      <c r="DI14" s="166"/>
      <c r="DJ14" s="166"/>
      <c r="DK14" s="166"/>
      <c r="DL14" s="166"/>
      <c r="DM14" s="166"/>
      <c r="DN14" s="166"/>
      <c r="DO14" s="166"/>
      <c r="DP14" s="167"/>
    </row>
    <row r="15" spans="1:120" s="164" customFormat="1" ht="15" customHeight="1" x14ac:dyDescent="0.2">
      <c r="A15" s="434" t="s">
        <v>594</v>
      </c>
      <c r="B15" s="165">
        <v>2000</v>
      </c>
      <c r="C15" s="165">
        <v>2168</v>
      </c>
      <c r="D15" s="165">
        <v>2684</v>
      </c>
      <c r="E15" s="165">
        <v>3138</v>
      </c>
      <c r="F15" s="165">
        <v>3384</v>
      </c>
      <c r="G15" s="165">
        <v>3734</v>
      </c>
      <c r="H15" s="166">
        <v>4349</v>
      </c>
      <c r="I15" s="166">
        <v>4125</v>
      </c>
      <c r="J15" s="166">
        <v>4063</v>
      </c>
      <c r="K15" s="166">
        <v>4177</v>
      </c>
      <c r="L15" s="166">
        <v>4696</v>
      </c>
      <c r="M15" s="166">
        <v>4866</v>
      </c>
      <c r="N15" s="166">
        <v>4785</v>
      </c>
      <c r="O15" s="166">
        <v>4701</v>
      </c>
      <c r="P15" s="166">
        <v>5380</v>
      </c>
      <c r="Q15" s="166">
        <v>5798</v>
      </c>
      <c r="R15" s="166">
        <v>5946</v>
      </c>
      <c r="S15" s="166">
        <v>6009</v>
      </c>
      <c r="T15" s="166">
        <v>6414</v>
      </c>
      <c r="U15" s="166">
        <v>6641</v>
      </c>
      <c r="V15" s="166">
        <v>6599</v>
      </c>
      <c r="W15" s="166">
        <v>6367</v>
      </c>
      <c r="X15" s="166">
        <v>6528</v>
      </c>
      <c r="Y15" s="166">
        <v>6927</v>
      </c>
      <c r="Z15" s="166">
        <v>6806</v>
      </c>
      <c r="AA15" s="166">
        <v>6752</v>
      </c>
      <c r="AB15" s="166">
        <v>7832</v>
      </c>
      <c r="AC15" s="166">
        <v>8393</v>
      </c>
      <c r="AD15" s="166">
        <v>8813</v>
      </c>
      <c r="AE15" s="166">
        <v>9350</v>
      </c>
      <c r="AF15" s="166">
        <v>9876</v>
      </c>
      <c r="AG15" s="166">
        <v>10300</v>
      </c>
      <c r="AH15" s="166">
        <v>10121</v>
      </c>
      <c r="AI15" s="166">
        <v>9662</v>
      </c>
      <c r="AJ15" s="166">
        <v>8717</v>
      </c>
      <c r="AK15" s="166">
        <v>8215</v>
      </c>
      <c r="AL15" s="166">
        <v>8045</v>
      </c>
      <c r="AM15" s="166">
        <v>7687</v>
      </c>
      <c r="AN15" s="166">
        <v>7738</v>
      </c>
      <c r="AO15" s="166">
        <v>7887</v>
      </c>
      <c r="AP15" s="166">
        <v>8306</v>
      </c>
      <c r="AQ15" s="166">
        <v>8356</v>
      </c>
      <c r="AR15" s="166">
        <v>7881</v>
      </c>
      <c r="AS15" s="374">
        <v>7947</v>
      </c>
      <c r="AT15" s="166"/>
      <c r="AU15" s="166"/>
      <c r="AV15" s="166"/>
      <c r="AW15" s="166"/>
      <c r="AX15" s="166"/>
      <c r="AY15" s="166"/>
      <c r="AZ15" s="166"/>
      <c r="BA15" s="166"/>
      <c r="BB15" s="166"/>
      <c r="BC15" s="166"/>
      <c r="BD15" s="166"/>
      <c r="BE15" s="166"/>
      <c r="BF15" s="166"/>
      <c r="BG15" s="166"/>
      <c r="BH15" s="166"/>
      <c r="BI15" s="166"/>
      <c r="BJ15" s="166"/>
      <c r="BK15" s="166"/>
      <c r="BL15" s="166"/>
      <c r="BM15" s="166"/>
      <c r="BN15" s="166"/>
      <c r="BO15" s="166"/>
      <c r="BP15" s="166"/>
      <c r="BQ15" s="166"/>
      <c r="BR15" s="166"/>
      <c r="BS15" s="166"/>
      <c r="BT15" s="166"/>
      <c r="BU15" s="166"/>
      <c r="BV15" s="166"/>
      <c r="BW15" s="166"/>
      <c r="BX15" s="166"/>
      <c r="BY15" s="166"/>
      <c r="BZ15" s="166"/>
      <c r="CA15" s="166"/>
      <c r="CB15" s="166"/>
      <c r="CC15" s="166"/>
      <c r="CD15" s="166"/>
      <c r="CE15" s="166"/>
      <c r="CF15" s="166"/>
      <c r="CG15" s="166"/>
      <c r="CH15" s="166"/>
      <c r="CI15" s="166"/>
      <c r="CJ15" s="166"/>
      <c r="CK15" s="166"/>
      <c r="CL15" s="166"/>
      <c r="CM15" s="166"/>
      <c r="CN15" s="166"/>
      <c r="CO15" s="166"/>
      <c r="CP15" s="166"/>
      <c r="CQ15" s="166"/>
      <c r="CR15" s="166"/>
      <c r="CS15" s="166"/>
      <c r="CT15" s="166"/>
      <c r="CU15" s="166"/>
      <c r="CV15" s="166"/>
      <c r="CW15" s="166"/>
      <c r="CX15" s="166"/>
      <c r="CY15" s="166"/>
      <c r="CZ15" s="166"/>
      <c r="DA15" s="166"/>
      <c r="DB15" s="166"/>
      <c r="DC15" s="166"/>
      <c r="DD15" s="166"/>
      <c r="DE15" s="166"/>
      <c r="DF15" s="166"/>
      <c r="DG15" s="166"/>
      <c r="DH15" s="166"/>
      <c r="DI15" s="166"/>
      <c r="DJ15" s="166"/>
      <c r="DK15" s="166"/>
      <c r="DL15" s="166"/>
      <c r="DM15" s="166"/>
      <c r="DN15" s="166"/>
      <c r="DO15" s="166"/>
      <c r="DP15" s="167"/>
    </row>
    <row r="16" spans="1:120" s="164" customFormat="1" ht="15" customHeight="1" x14ac:dyDescent="0.2">
      <c r="A16" s="504" t="s">
        <v>472</v>
      </c>
      <c r="B16" s="165">
        <v>2990</v>
      </c>
      <c r="C16" s="165">
        <v>2970</v>
      </c>
      <c r="D16" s="165">
        <v>3060</v>
      </c>
      <c r="E16" s="165">
        <v>2843</v>
      </c>
      <c r="F16" s="165">
        <v>2867</v>
      </c>
      <c r="G16" s="165">
        <v>3024</v>
      </c>
      <c r="H16" s="166">
        <v>3147</v>
      </c>
      <c r="I16" s="166">
        <v>2898</v>
      </c>
      <c r="J16" s="166">
        <v>2876</v>
      </c>
      <c r="K16" s="166">
        <v>2764</v>
      </c>
      <c r="L16" s="166">
        <v>2764</v>
      </c>
      <c r="M16" s="166">
        <v>2879</v>
      </c>
      <c r="N16" s="166">
        <v>3439</v>
      </c>
      <c r="O16" s="166">
        <v>3883</v>
      </c>
      <c r="P16" s="166">
        <v>4157</v>
      </c>
      <c r="Q16" s="166">
        <v>4394</v>
      </c>
      <c r="R16" s="166">
        <v>4704</v>
      </c>
      <c r="S16" s="166">
        <v>4930</v>
      </c>
      <c r="T16" s="166">
        <v>5177</v>
      </c>
      <c r="U16" s="166">
        <v>5336</v>
      </c>
      <c r="V16" s="166">
        <v>5494</v>
      </c>
      <c r="W16" s="166">
        <v>5515</v>
      </c>
      <c r="X16" s="166">
        <v>5628</v>
      </c>
      <c r="Y16" s="166">
        <v>5775</v>
      </c>
      <c r="Z16" s="166">
        <v>6187</v>
      </c>
      <c r="AA16" s="166">
        <v>6421</v>
      </c>
      <c r="AB16" s="166">
        <v>6534</v>
      </c>
      <c r="AC16" s="166">
        <v>6803</v>
      </c>
      <c r="AD16" s="166">
        <v>7014</v>
      </c>
      <c r="AE16" s="166">
        <v>6955</v>
      </c>
      <c r="AF16" s="166">
        <v>7224</v>
      </c>
      <c r="AG16" s="166">
        <v>7334</v>
      </c>
      <c r="AH16" s="166">
        <v>7324</v>
      </c>
      <c r="AI16" s="166">
        <v>7170</v>
      </c>
      <c r="AJ16" s="166">
        <v>7098</v>
      </c>
      <c r="AK16" s="166">
        <v>7029</v>
      </c>
      <c r="AL16" s="166">
        <v>6992</v>
      </c>
      <c r="AM16" s="166">
        <v>6789</v>
      </c>
      <c r="AN16" s="166">
        <v>6641</v>
      </c>
      <c r="AO16" s="166">
        <v>6685</v>
      </c>
      <c r="AP16" s="166">
        <v>6668</v>
      </c>
      <c r="AQ16" s="166">
        <v>6633</v>
      </c>
      <c r="AR16" s="166">
        <v>6426</v>
      </c>
      <c r="AS16" s="374">
        <v>6394</v>
      </c>
      <c r="AT16" s="166"/>
      <c r="AU16" s="166"/>
      <c r="AV16" s="166"/>
      <c r="AW16" s="166"/>
      <c r="AX16" s="166"/>
      <c r="AY16" s="166"/>
      <c r="AZ16" s="166"/>
      <c r="BA16" s="166"/>
      <c r="BB16" s="166"/>
      <c r="BC16" s="166"/>
      <c r="BD16" s="166"/>
      <c r="BE16" s="166"/>
      <c r="BF16" s="166"/>
      <c r="BG16" s="166"/>
      <c r="BH16" s="166"/>
      <c r="BI16" s="166"/>
      <c r="BJ16" s="166"/>
      <c r="BK16" s="166"/>
      <c r="BL16" s="166"/>
      <c r="BM16" s="166"/>
      <c r="BN16" s="166"/>
      <c r="BO16" s="166"/>
      <c r="BP16" s="166"/>
      <c r="BQ16" s="166"/>
      <c r="BR16" s="166"/>
      <c r="BS16" s="166"/>
      <c r="BT16" s="166"/>
      <c r="BU16" s="166"/>
      <c r="BV16" s="166"/>
      <c r="BW16" s="166"/>
      <c r="BX16" s="166"/>
      <c r="BY16" s="166"/>
      <c r="BZ16" s="166"/>
      <c r="CA16" s="166"/>
      <c r="CB16" s="166"/>
      <c r="CC16" s="166"/>
      <c r="CD16" s="166"/>
      <c r="CE16" s="166"/>
      <c r="CF16" s="166"/>
      <c r="CG16" s="166"/>
      <c r="CH16" s="166"/>
      <c r="CI16" s="166"/>
      <c r="CJ16" s="166"/>
      <c r="CK16" s="166"/>
      <c r="CL16" s="166"/>
      <c r="CM16" s="166"/>
      <c r="CN16" s="166"/>
      <c r="CO16" s="166"/>
      <c r="CP16" s="166"/>
      <c r="CQ16" s="166"/>
      <c r="CR16" s="166"/>
      <c r="CS16" s="166"/>
      <c r="CT16" s="166"/>
      <c r="CU16" s="166"/>
      <c r="CV16" s="166"/>
      <c r="CW16" s="166"/>
      <c r="CX16" s="166"/>
      <c r="CY16" s="166"/>
      <c r="CZ16" s="166"/>
      <c r="DA16" s="166"/>
      <c r="DB16" s="166"/>
      <c r="DC16" s="166"/>
      <c r="DD16" s="166"/>
      <c r="DE16" s="166"/>
      <c r="DF16" s="166"/>
      <c r="DG16" s="166"/>
      <c r="DH16" s="166"/>
      <c r="DI16" s="166"/>
      <c r="DJ16" s="166"/>
      <c r="DK16" s="166"/>
      <c r="DL16" s="166"/>
      <c r="DM16" s="166"/>
      <c r="DN16" s="166"/>
      <c r="DO16" s="166"/>
      <c r="DP16" s="167"/>
    </row>
    <row r="17" spans="1:120" s="164" customFormat="1" ht="15" customHeight="1" x14ac:dyDescent="0.2">
      <c r="A17" s="504" t="s">
        <v>395</v>
      </c>
      <c r="B17" s="165">
        <v>2222</v>
      </c>
      <c r="C17" s="165">
        <v>2207</v>
      </c>
      <c r="D17" s="165">
        <v>2229</v>
      </c>
      <c r="E17" s="165">
        <v>2146</v>
      </c>
      <c r="F17" s="165">
        <v>2490</v>
      </c>
      <c r="G17" s="165">
        <v>2553</v>
      </c>
      <c r="H17" s="166">
        <v>2596</v>
      </c>
      <c r="I17" s="166">
        <v>2502</v>
      </c>
      <c r="J17" s="166">
        <v>2749</v>
      </c>
      <c r="K17" s="166">
        <v>2738</v>
      </c>
      <c r="L17" s="166">
        <v>2638</v>
      </c>
      <c r="M17" s="166">
        <v>2574</v>
      </c>
      <c r="N17" s="166">
        <v>2949</v>
      </c>
      <c r="O17" s="166">
        <v>3060</v>
      </c>
      <c r="P17" s="166">
        <v>3018</v>
      </c>
      <c r="Q17" s="166">
        <v>2758</v>
      </c>
      <c r="R17" s="166">
        <v>3200</v>
      </c>
      <c r="S17" s="166">
        <v>3253</v>
      </c>
      <c r="T17" s="166">
        <v>3279</v>
      </c>
      <c r="U17" s="166">
        <v>2987</v>
      </c>
      <c r="V17" s="166">
        <v>3452</v>
      </c>
      <c r="W17" s="166">
        <v>3443</v>
      </c>
      <c r="X17" s="166">
        <v>3432</v>
      </c>
      <c r="Y17" s="166">
        <v>3214</v>
      </c>
      <c r="Z17" s="166">
        <v>3646</v>
      </c>
      <c r="AA17" s="166">
        <v>3670</v>
      </c>
      <c r="AB17" s="166">
        <v>3799</v>
      </c>
      <c r="AC17" s="166">
        <v>3313</v>
      </c>
      <c r="AD17" s="166">
        <v>3792</v>
      </c>
      <c r="AE17" s="166">
        <v>3982</v>
      </c>
      <c r="AF17" s="166">
        <v>3956</v>
      </c>
      <c r="AG17" s="166">
        <v>3666</v>
      </c>
      <c r="AH17" s="166">
        <v>4149</v>
      </c>
      <c r="AI17" s="166">
        <v>4268</v>
      </c>
      <c r="AJ17" s="166">
        <v>4369</v>
      </c>
      <c r="AK17" s="166">
        <v>3905</v>
      </c>
      <c r="AL17" s="166">
        <v>4409</v>
      </c>
      <c r="AM17" s="166">
        <v>4324</v>
      </c>
      <c r="AN17" s="166">
        <v>5236.7</v>
      </c>
      <c r="AO17" s="166">
        <v>4509</v>
      </c>
      <c r="AP17" s="166">
        <v>4742</v>
      </c>
      <c r="AQ17" s="166">
        <v>4438</v>
      </c>
      <c r="AR17" s="166">
        <v>4143</v>
      </c>
      <c r="AS17" s="374">
        <v>3582</v>
      </c>
      <c r="AT17" s="166"/>
      <c r="AU17" s="166"/>
      <c r="AV17" s="166"/>
      <c r="AW17" s="166"/>
      <c r="AX17" s="166"/>
      <c r="AY17" s="166"/>
      <c r="AZ17" s="166"/>
      <c r="BA17" s="166"/>
      <c r="BB17" s="166"/>
      <c r="BC17" s="166"/>
      <c r="BD17" s="166"/>
      <c r="BE17" s="166"/>
      <c r="BF17" s="166"/>
      <c r="BG17" s="166"/>
      <c r="BH17" s="166"/>
      <c r="BI17" s="166"/>
      <c r="BJ17" s="166"/>
      <c r="BK17" s="166"/>
      <c r="BL17" s="166"/>
      <c r="BM17" s="166"/>
      <c r="BN17" s="166"/>
      <c r="BO17" s="166"/>
      <c r="BP17" s="166"/>
      <c r="BQ17" s="166"/>
      <c r="BR17" s="166"/>
      <c r="BS17" s="166"/>
      <c r="BT17" s="166"/>
      <c r="BU17" s="166"/>
      <c r="BV17" s="166"/>
      <c r="BW17" s="166"/>
      <c r="BX17" s="166"/>
      <c r="BY17" s="166"/>
      <c r="BZ17" s="166"/>
      <c r="CA17" s="166"/>
      <c r="CB17" s="166"/>
      <c r="CC17" s="166"/>
      <c r="CD17" s="166"/>
      <c r="CE17" s="166"/>
      <c r="CF17" s="166"/>
      <c r="CG17" s="166"/>
      <c r="CH17" s="166"/>
      <c r="CI17" s="166"/>
      <c r="CJ17" s="166"/>
      <c r="CK17" s="166"/>
      <c r="CL17" s="166"/>
      <c r="CM17" s="166"/>
      <c r="CN17" s="166"/>
      <c r="CO17" s="166"/>
      <c r="CP17" s="166"/>
      <c r="CQ17" s="166"/>
      <c r="CR17" s="166"/>
      <c r="CS17" s="166"/>
      <c r="CT17" s="166"/>
      <c r="CU17" s="166"/>
      <c r="CV17" s="166"/>
      <c r="CW17" s="166"/>
      <c r="CX17" s="166"/>
      <c r="CY17" s="166"/>
      <c r="CZ17" s="166"/>
      <c r="DA17" s="166"/>
      <c r="DB17" s="166"/>
      <c r="DC17" s="166"/>
      <c r="DD17" s="166"/>
      <c r="DE17" s="166"/>
      <c r="DF17" s="166"/>
      <c r="DG17" s="166"/>
      <c r="DH17" s="166"/>
      <c r="DI17" s="166"/>
      <c r="DJ17" s="166"/>
      <c r="DK17" s="166"/>
      <c r="DL17" s="166"/>
      <c r="DM17" s="166"/>
      <c r="DN17" s="166"/>
      <c r="DO17" s="166"/>
      <c r="DP17" s="167"/>
    </row>
    <row r="18" spans="1:120" s="164" customFormat="1" ht="15" customHeight="1" x14ac:dyDescent="0.2">
      <c r="A18" s="139" t="s">
        <v>342</v>
      </c>
      <c r="B18" s="165">
        <v>0</v>
      </c>
      <c r="C18" s="165">
        <v>0</v>
      </c>
      <c r="D18" s="165">
        <v>0</v>
      </c>
      <c r="E18" s="165">
        <v>0</v>
      </c>
      <c r="F18" s="165">
        <v>0</v>
      </c>
      <c r="G18" s="165">
        <v>0</v>
      </c>
      <c r="H18" s="165">
        <v>0</v>
      </c>
      <c r="I18" s="165">
        <v>0</v>
      </c>
      <c r="J18" s="165">
        <v>0</v>
      </c>
      <c r="K18" s="165">
        <v>0</v>
      </c>
      <c r="L18" s="165">
        <v>0</v>
      </c>
      <c r="M18" s="165">
        <v>0</v>
      </c>
      <c r="N18" s="165">
        <v>0</v>
      </c>
      <c r="O18" s="165">
        <v>0</v>
      </c>
      <c r="P18" s="165">
        <v>0</v>
      </c>
      <c r="Q18" s="165">
        <v>0</v>
      </c>
      <c r="R18" s="165">
        <v>0</v>
      </c>
      <c r="S18" s="165">
        <v>0</v>
      </c>
      <c r="T18" s="165">
        <v>0</v>
      </c>
      <c r="U18" s="165">
        <v>0</v>
      </c>
      <c r="V18" s="165">
        <v>0</v>
      </c>
      <c r="W18" s="165">
        <v>0</v>
      </c>
      <c r="X18" s="165">
        <v>0</v>
      </c>
      <c r="Y18" s="165">
        <v>0</v>
      </c>
      <c r="Z18" s="165">
        <v>0</v>
      </c>
      <c r="AA18" s="165">
        <v>0</v>
      </c>
      <c r="AB18" s="165">
        <v>0</v>
      </c>
      <c r="AC18" s="166">
        <v>187</v>
      </c>
      <c r="AD18" s="166">
        <v>282</v>
      </c>
      <c r="AE18" s="166">
        <v>372</v>
      </c>
      <c r="AF18" s="166">
        <v>381</v>
      </c>
      <c r="AG18" s="166">
        <v>458</v>
      </c>
      <c r="AH18" s="166">
        <v>557</v>
      </c>
      <c r="AI18" s="166">
        <v>623</v>
      </c>
      <c r="AJ18" s="166">
        <v>715</v>
      </c>
      <c r="AK18" s="166">
        <v>707</v>
      </c>
      <c r="AL18" s="166">
        <v>620</v>
      </c>
      <c r="AM18" s="166">
        <v>551</v>
      </c>
      <c r="AN18" s="166">
        <v>1061</v>
      </c>
      <c r="AO18" s="166">
        <v>644</v>
      </c>
      <c r="AP18" s="166">
        <v>699</v>
      </c>
      <c r="AQ18" s="166">
        <v>794</v>
      </c>
      <c r="AR18" s="166">
        <v>843</v>
      </c>
      <c r="AS18" s="374">
        <v>600</v>
      </c>
      <c r="AT18" s="166"/>
      <c r="AU18" s="166"/>
      <c r="AV18" s="166"/>
      <c r="AW18" s="166"/>
      <c r="AX18" s="166"/>
      <c r="AY18" s="166"/>
      <c r="AZ18" s="166"/>
      <c r="BA18" s="166"/>
      <c r="BB18" s="166"/>
      <c r="BC18" s="166"/>
      <c r="BD18" s="166"/>
      <c r="BE18" s="166"/>
      <c r="BF18" s="166"/>
      <c r="BG18" s="166"/>
      <c r="BH18" s="166"/>
      <c r="BI18" s="166"/>
      <c r="BJ18" s="166"/>
      <c r="BK18" s="166"/>
      <c r="BL18" s="166"/>
      <c r="BM18" s="166"/>
      <c r="BN18" s="166"/>
      <c r="BO18" s="166"/>
      <c r="BP18" s="166"/>
      <c r="BQ18" s="166"/>
      <c r="BR18" s="166"/>
      <c r="BS18" s="166"/>
      <c r="BT18" s="166"/>
      <c r="BU18" s="166"/>
      <c r="BV18" s="166"/>
      <c r="BW18" s="166"/>
      <c r="BX18" s="166"/>
      <c r="BY18" s="166"/>
      <c r="BZ18" s="166"/>
      <c r="CA18" s="166"/>
      <c r="CB18" s="166"/>
      <c r="CC18" s="166"/>
      <c r="CD18" s="166"/>
      <c r="CE18" s="166"/>
      <c r="CF18" s="166"/>
      <c r="CG18" s="166"/>
      <c r="CH18" s="166"/>
      <c r="CI18" s="166"/>
      <c r="CJ18" s="166"/>
      <c r="CK18" s="166"/>
      <c r="CL18" s="166"/>
      <c r="CM18" s="166"/>
      <c r="CN18" s="166"/>
      <c r="CO18" s="166"/>
      <c r="CP18" s="166"/>
      <c r="CQ18" s="166"/>
      <c r="CR18" s="166"/>
      <c r="CS18" s="166"/>
      <c r="CT18" s="166"/>
      <c r="CU18" s="166"/>
      <c r="CV18" s="166"/>
      <c r="CW18" s="166"/>
      <c r="CX18" s="166"/>
      <c r="CY18" s="166"/>
      <c r="CZ18" s="166"/>
      <c r="DA18" s="166"/>
      <c r="DB18" s="166"/>
      <c r="DC18" s="166"/>
      <c r="DD18" s="166"/>
      <c r="DE18" s="166"/>
      <c r="DF18" s="166"/>
      <c r="DG18" s="166"/>
      <c r="DH18" s="166"/>
      <c r="DI18" s="166"/>
      <c r="DJ18" s="166"/>
      <c r="DK18" s="166"/>
      <c r="DL18" s="166"/>
      <c r="DM18" s="166"/>
      <c r="DN18" s="166"/>
      <c r="DO18" s="166"/>
      <c r="DP18" s="167"/>
    </row>
    <row r="19" spans="1:120" s="164" customFormat="1" ht="15" customHeight="1" x14ac:dyDescent="0.2">
      <c r="A19" s="434" t="s">
        <v>91</v>
      </c>
      <c r="B19" s="165">
        <v>471</v>
      </c>
      <c r="C19" s="165">
        <v>675</v>
      </c>
      <c r="D19" s="165">
        <v>694</v>
      </c>
      <c r="E19" s="165">
        <v>779</v>
      </c>
      <c r="F19" s="165">
        <v>713</v>
      </c>
      <c r="G19" s="165">
        <v>861</v>
      </c>
      <c r="H19" s="166">
        <v>1004</v>
      </c>
      <c r="I19" s="166">
        <v>3367</v>
      </c>
      <c r="J19" s="166">
        <v>3222</v>
      </c>
      <c r="K19" s="166">
        <v>2936</v>
      </c>
      <c r="L19" s="166">
        <v>2726</v>
      </c>
      <c r="M19" s="166">
        <v>2800</v>
      </c>
      <c r="N19" s="166">
        <v>2539</v>
      </c>
      <c r="O19" s="166">
        <v>2341</v>
      </c>
      <c r="P19" s="166">
        <v>2170</v>
      </c>
      <c r="Q19" s="166">
        <v>2038</v>
      </c>
      <c r="R19" s="166">
        <v>1787</v>
      </c>
      <c r="S19" s="166">
        <v>1626</v>
      </c>
      <c r="T19" s="166">
        <v>1459</v>
      </c>
      <c r="U19" s="166">
        <v>1450</v>
      </c>
      <c r="V19" s="166">
        <v>1346</v>
      </c>
      <c r="W19" s="166">
        <v>1403</v>
      </c>
      <c r="X19" s="166">
        <v>1497</v>
      </c>
      <c r="Y19" s="166">
        <v>1270</v>
      </c>
      <c r="Z19" s="166">
        <v>1319</v>
      </c>
      <c r="AA19" s="166">
        <v>1819</v>
      </c>
      <c r="AB19" s="166">
        <v>1503</v>
      </c>
      <c r="AC19" s="166">
        <v>4024</v>
      </c>
      <c r="AD19" s="166">
        <v>4208</v>
      </c>
      <c r="AE19" s="166">
        <v>4383</v>
      </c>
      <c r="AF19" s="166">
        <v>4567</v>
      </c>
      <c r="AG19" s="166">
        <v>4691</v>
      </c>
      <c r="AH19" s="166">
        <v>5204</v>
      </c>
      <c r="AI19" s="166">
        <v>4958</v>
      </c>
      <c r="AJ19" s="166">
        <v>5135</v>
      </c>
      <c r="AK19" s="166">
        <v>5065</v>
      </c>
      <c r="AL19" s="166">
        <v>4912</v>
      </c>
      <c r="AM19" s="166">
        <v>5005</v>
      </c>
      <c r="AN19" s="166">
        <v>7933</v>
      </c>
      <c r="AO19" s="166">
        <v>7207</v>
      </c>
      <c r="AP19" s="166">
        <v>7574</v>
      </c>
      <c r="AQ19" s="166">
        <v>7492</v>
      </c>
      <c r="AR19" s="166">
        <v>7218</v>
      </c>
      <c r="AS19" s="374">
        <f>7192+1</f>
        <v>7193</v>
      </c>
      <c r="AT19" s="166"/>
      <c r="AU19" s="166"/>
      <c r="AV19" s="166"/>
      <c r="AW19" s="166"/>
      <c r="AX19" s="166"/>
      <c r="AY19" s="166"/>
      <c r="AZ19" s="166"/>
      <c r="BA19" s="166"/>
      <c r="BB19" s="166"/>
      <c r="BC19" s="166"/>
      <c r="BD19" s="166"/>
      <c r="BE19" s="166"/>
      <c r="BF19" s="166"/>
      <c r="BG19" s="166"/>
      <c r="BH19" s="166"/>
      <c r="BI19" s="166"/>
      <c r="BJ19" s="166"/>
      <c r="BK19" s="166"/>
      <c r="BL19" s="166"/>
      <c r="BM19" s="166"/>
      <c r="BN19" s="166"/>
      <c r="BO19" s="166"/>
      <c r="BP19" s="166"/>
      <c r="BQ19" s="166"/>
      <c r="BR19" s="166"/>
      <c r="BS19" s="166"/>
      <c r="BT19" s="166"/>
      <c r="BU19" s="166"/>
      <c r="BV19" s="166"/>
      <c r="BW19" s="166"/>
      <c r="BX19" s="166"/>
      <c r="BY19" s="166"/>
      <c r="BZ19" s="166"/>
      <c r="CA19" s="166"/>
      <c r="CB19" s="166"/>
      <c r="CC19" s="166"/>
      <c r="CD19" s="166"/>
      <c r="CE19" s="166"/>
      <c r="CF19" s="166"/>
      <c r="CG19" s="166"/>
      <c r="CH19" s="166"/>
      <c r="CI19" s="166"/>
      <c r="CJ19" s="166"/>
      <c r="CK19" s="166"/>
      <c r="CL19" s="166"/>
      <c r="CM19" s="166"/>
      <c r="CN19" s="166"/>
      <c r="CO19" s="166"/>
      <c r="CP19" s="166"/>
      <c r="CQ19" s="166"/>
      <c r="CR19" s="166"/>
      <c r="CS19" s="166"/>
      <c r="CT19" s="166"/>
      <c r="CU19" s="166"/>
      <c r="CV19" s="166"/>
      <c r="CW19" s="166"/>
      <c r="CX19" s="166"/>
      <c r="CY19" s="166"/>
      <c r="CZ19" s="166"/>
      <c r="DA19" s="166"/>
      <c r="DB19" s="166"/>
      <c r="DC19" s="166"/>
      <c r="DD19" s="166"/>
      <c r="DE19" s="166"/>
      <c r="DF19" s="166"/>
      <c r="DG19" s="166"/>
      <c r="DH19" s="166"/>
      <c r="DI19" s="166"/>
      <c r="DJ19" s="166"/>
      <c r="DK19" s="166"/>
      <c r="DL19" s="166"/>
      <c r="DM19" s="166"/>
      <c r="DN19" s="166"/>
      <c r="DO19" s="166"/>
      <c r="DP19" s="167"/>
    </row>
    <row r="20" spans="1:120" ht="5.0999999999999996" customHeight="1" x14ac:dyDescent="0.2">
      <c r="A20" s="19"/>
      <c r="B20" s="120"/>
      <c r="C20" s="120"/>
      <c r="D20" s="120"/>
      <c r="E20" s="120"/>
      <c r="F20" s="120"/>
      <c r="G20" s="120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189"/>
    </row>
    <row r="21" spans="1:120" s="192" customFormat="1" ht="15" customHeight="1" x14ac:dyDescent="0.2">
      <c r="A21" s="435" t="s">
        <v>25</v>
      </c>
      <c r="B21" s="160">
        <f t="shared" ref="B21:AO21" si="3">SUM(B22:B32)</f>
        <v>60370</v>
      </c>
      <c r="C21" s="160">
        <f t="shared" si="3"/>
        <v>64036</v>
      </c>
      <c r="D21" s="160">
        <f t="shared" si="3"/>
        <v>67635</v>
      </c>
      <c r="E21" s="160">
        <f t="shared" si="3"/>
        <v>78396</v>
      </c>
      <c r="F21" s="160">
        <f t="shared" si="3"/>
        <v>82687</v>
      </c>
      <c r="G21" s="160">
        <f t="shared" si="3"/>
        <v>89129</v>
      </c>
      <c r="H21" s="210">
        <f t="shared" si="3"/>
        <v>97618</v>
      </c>
      <c r="I21" s="210">
        <f t="shared" si="3"/>
        <v>107352</v>
      </c>
      <c r="J21" s="210">
        <f t="shared" si="3"/>
        <v>107541</v>
      </c>
      <c r="K21" s="210">
        <f t="shared" si="3"/>
        <v>106184</v>
      </c>
      <c r="L21" s="210">
        <f t="shared" si="3"/>
        <v>106741</v>
      </c>
      <c r="M21" s="210">
        <f t="shared" si="3"/>
        <v>110067</v>
      </c>
      <c r="N21" s="211">
        <f t="shared" si="3"/>
        <v>113378</v>
      </c>
      <c r="O21" s="211">
        <f t="shared" si="3"/>
        <v>120266</v>
      </c>
      <c r="P21" s="211">
        <f t="shared" si="3"/>
        <v>125620</v>
      </c>
      <c r="Q21" s="211">
        <f t="shared" si="3"/>
        <v>133730</v>
      </c>
      <c r="R21" s="211">
        <f t="shared" si="3"/>
        <v>141174</v>
      </c>
      <c r="S21" s="211">
        <f t="shared" si="3"/>
        <v>149372</v>
      </c>
      <c r="T21" s="211">
        <f t="shared" si="3"/>
        <v>156570</v>
      </c>
      <c r="U21" s="211">
        <f t="shared" si="3"/>
        <v>161696</v>
      </c>
      <c r="V21" s="211">
        <f t="shared" si="3"/>
        <v>161427</v>
      </c>
      <c r="W21" s="211">
        <f t="shared" si="3"/>
        <v>168214</v>
      </c>
      <c r="X21" s="211">
        <f t="shared" si="3"/>
        <v>171058</v>
      </c>
      <c r="Y21" s="211">
        <f t="shared" si="3"/>
        <v>174555</v>
      </c>
      <c r="Z21" s="211">
        <f t="shared" si="3"/>
        <v>179620</v>
      </c>
      <c r="AA21" s="211">
        <f t="shared" si="3"/>
        <v>183003</v>
      </c>
      <c r="AB21" s="211">
        <f t="shared" si="3"/>
        <v>185539</v>
      </c>
      <c r="AC21" s="211">
        <f t="shared" si="3"/>
        <v>296523</v>
      </c>
      <c r="AD21" s="211">
        <f t="shared" si="3"/>
        <v>299645</v>
      </c>
      <c r="AE21" s="211">
        <f t="shared" si="3"/>
        <v>300163</v>
      </c>
      <c r="AF21" s="211">
        <f t="shared" si="3"/>
        <v>306167</v>
      </c>
      <c r="AG21" s="211">
        <f t="shared" si="3"/>
        <v>313695</v>
      </c>
      <c r="AH21" s="211">
        <f t="shared" si="3"/>
        <v>321254</v>
      </c>
      <c r="AI21" s="211">
        <f t="shared" si="3"/>
        <v>319945.19999999995</v>
      </c>
      <c r="AJ21" s="211">
        <f t="shared" si="3"/>
        <v>329253</v>
      </c>
      <c r="AK21" s="211">
        <f t="shared" si="3"/>
        <v>326278</v>
      </c>
      <c r="AL21" s="211">
        <f t="shared" si="3"/>
        <v>315449</v>
      </c>
      <c r="AM21" s="211">
        <f t="shared" si="3"/>
        <v>298573</v>
      </c>
      <c r="AN21" s="211">
        <f t="shared" si="3"/>
        <v>350703.86</v>
      </c>
      <c r="AO21" s="211">
        <f t="shared" si="3"/>
        <v>342945</v>
      </c>
      <c r="AP21" s="211">
        <f t="shared" ref="AP21:AQ21" si="4">SUM(AP22:AP32)</f>
        <v>330894</v>
      </c>
      <c r="AQ21" s="211">
        <f t="shared" si="4"/>
        <v>321521</v>
      </c>
      <c r="AR21" s="211">
        <f t="shared" ref="AR21:AS21" si="5">SUM(AR22:AR32)</f>
        <v>314657</v>
      </c>
      <c r="AS21" s="212">
        <f t="shared" si="5"/>
        <v>317462</v>
      </c>
    </row>
    <row r="22" spans="1:120" s="164" customFormat="1" ht="15" customHeight="1" x14ac:dyDescent="0.2">
      <c r="A22" s="434" t="s">
        <v>307</v>
      </c>
      <c r="B22" s="165">
        <v>8990</v>
      </c>
      <c r="C22" s="165">
        <v>9546</v>
      </c>
      <c r="D22" s="165">
        <v>10589</v>
      </c>
      <c r="E22" s="165">
        <v>14686</v>
      </c>
      <c r="F22" s="165">
        <v>16099</v>
      </c>
      <c r="G22" s="165">
        <v>19136</v>
      </c>
      <c r="H22" s="166">
        <v>22020</v>
      </c>
      <c r="I22" s="166">
        <v>25869</v>
      </c>
      <c r="J22" s="166">
        <v>25795</v>
      </c>
      <c r="K22" s="166">
        <v>25816</v>
      </c>
      <c r="L22" s="166">
        <v>26518</v>
      </c>
      <c r="M22" s="166">
        <v>27676</v>
      </c>
      <c r="N22" s="166">
        <v>29526</v>
      </c>
      <c r="O22" s="166">
        <v>29883</v>
      </c>
      <c r="P22" s="166">
        <v>31371</v>
      </c>
      <c r="Q22" s="166">
        <v>34729</v>
      </c>
      <c r="R22" s="166">
        <v>36161</v>
      </c>
      <c r="S22" s="166">
        <v>37863</v>
      </c>
      <c r="T22" s="166">
        <v>38590</v>
      </c>
      <c r="U22" s="166">
        <v>41863</v>
      </c>
      <c r="V22" s="166">
        <v>41551</v>
      </c>
      <c r="W22" s="166">
        <v>42533</v>
      </c>
      <c r="X22" s="166">
        <v>42416</v>
      </c>
      <c r="Y22" s="166">
        <v>44811</v>
      </c>
      <c r="Z22" s="166">
        <v>44992</v>
      </c>
      <c r="AA22" s="166">
        <v>44207</v>
      </c>
      <c r="AB22" s="166">
        <v>44255</v>
      </c>
      <c r="AC22" s="166">
        <v>45599</v>
      </c>
      <c r="AD22" s="166">
        <v>43304</v>
      </c>
      <c r="AE22" s="166">
        <v>42869</v>
      </c>
      <c r="AF22" s="166">
        <v>42802</v>
      </c>
      <c r="AG22" s="166">
        <v>45004</v>
      </c>
      <c r="AH22" s="166">
        <v>43277</v>
      </c>
      <c r="AI22" s="166">
        <v>42324</v>
      </c>
      <c r="AJ22" s="166">
        <v>42096</v>
      </c>
      <c r="AK22" s="166">
        <v>42432</v>
      </c>
      <c r="AL22" s="166">
        <v>40052</v>
      </c>
      <c r="AM22" s="166">
        <v>38608</v>
      </c>
      <c r="AN22" s="166">
        <v>48206.76</v>
      </c>
      <c r="AO22" s="166">
        <v>45943</v>
      </c>
      <c r="AP22" s="166">
        <v>43807</v>
      </c>
      <c r="AQ22" s="166">
        <v>41843</v>
      </c>
      <c r="AR22" s="166">
        <v>39739</v>
      </c>
      <c r="AS22" s="374">
        <v>40075</v>
      </c>
      <c r="AT22" s="166"/>
      <c r="AU22" s="166"/>
      <c r="AV22" s="166"/>
      <c r="AW22" s="166"/>
      <c r="AX22" s="166"/>
      <c r="AY22" s="166"/>
      <c r="AZ22" s="166"/>
      <c r="BA22" s="166"/>
      <c r="BB22" s="166"/>
      <c r="BC22" s="166"/>
      <c r="BD22" s="166"/>
      <c r="BE22" s="166"/>
      <c r="BF22" s="166"/>
      <c r="BG22" s="166"/>
      <c r="BH22" s="166"/>
      <c r="BI22" s="166"/>
      <c r="BJ22" s="166"/>
      <c r="BK22" s="166"/>
      <c r="BL22" s="166"/>
      <c r="BM22" s="166"/>
      <c r="BN22" s="166"/>
      <c r="BO22" s="166"/>
      <c r="BP22" s="166"/>
      <c r="BQ22" s="166"/>
      <c r="BR22" s="166"/>
      <c r="BS22" s="166"/>
      <c r="BT22" s="166"/>
      <c r="BU22" s="166"/>
      <c r="BV22" s="166"/>
      <c r="BW22" s="166"/>
      <c r="BX22" s="166"/>
      <c r="BY22" s="166"/>
      <c r="BZ22" s="166"/>
      <c r="CA22" s="166"/>
      <c r="CB22" s="166"/>
      <c r="CC22" s="166"/>
      <c r="CD22" s="166"/>
      <c r="CE22" s="166"/>
      <c r="CF22" s="166"/>
      <c r="CG22" s="166"/>
      <c r="CH22" s="166"/>
      <c r="CI22" s="166"/>
      <c r="CJ22" s="166"/>
      <c r="CK22" s="166"/>
      <c r="CL22" s="166"/>
      <c r="CM22" s="166"/>
      <c r="CN22" s="166"/>
      <c r="CO22" s="166"/>
      <c r="CP22" s="166"/>
      <c r="CQ22" s="166"/>
      <c r="CR22" s="166"/>
      <c r="CS22" s="166"/>
      <c r="CT22" s="166"/>
      <c r="CU22" s="166"/>
      <c r="CV22" s="166"/>
      <c r="CW22" s="166"/>
      <c r="CX22" s="166"/>
      <c r="CY22" s="166"/>
      <c r="CZ22" s="166"/>
      <c r="DA22" s="166"/>
      <c r="DB22" s="166"/>
      <c r="DC22" s="166"/>
      <c r="DD22" s="166"/>
      <c r="DE22" s="166"/>
      <c r="DF22" s="166"/>
      <c r="DG22" s="166"/>
      <c r="DH22" s="166"/>
      <c r="DI22" s="166"/>
      <c r="DJ22" s="166"/>
      <c r="DK22" s="166"/>
      <c r="DL22" s="166"/>
      <c r="DM22" s="166"/>
      <c r="DN22" s="166"/>
      <c r="DO22" s="166"/>
      <c r="DP22" s="167"/>
    </row>
    <row r="23" spans="1:120" s="164" customFormat="1" ht="15" customHeight="1" x14ac:dyDescent="0.2">
      <c r="A23" s="172" t="s">
        <v>589</v>
      </c>
      <c r="B23" s="165">
        <v>7163</v>
      </c>
      <c r="C23" s="165">
        <v>7747</v>
      </c>
      <c r="D23" s="165">
        <v>8294</v>
      </c>
      <c r="E23" s="165">
        <v>8535</v>
      </c>
      <c r="F23" s="165">
        <v>8176</v>
      </c>
      <c r="G23" s="165">
        <v>8007</v>
      </c>
      <c r="H23" s="166">
        <v>10738</v>
      </c>
      <c r="I23" s="166">
        <v>11137</v>
      </c>
      <c r="J23" s="166">
        <v>11410</v>
      </c>
      <c r="K23" s="166">
        <v>10735</v>
      </c>
      <c r="L23" s="166">
        <v>10656</v>
      </c>
      <c r="M23" s="166">
        <v>13128</v>
      </c>
      <c r="N23" s="166">
        <v>14017</v>
      </c>
      <c r="O23" s="166">
        <v>15150</v>
      </c>
      <c r="P23" s="166">
        <v>14748</v>
      </c>
      <c r="Q23" s="166">
        <v>17927</v>
      </c>
      <c r="R23" s="166">
        <v>19099</v>
      </c>
      <c r="S23" s="166">
        <v>19650</v>
      </c>
      <c r="T23" s="166">
        <v>23083</v>
      </c>
      <c r="U23" s="166">
        <v>22659</v>
      </c>
      <c r="V23" s="166">
        <v>21670</v>
      </c>
      <c r="W23" s="166">
        <v>23615</v>
      </c>
      <c r="X23" s="166">
        <v>24748</v>
      </c>
      <c r="Y23" s="166">
        <v>25243</v>
      </c>
      <c r="Z23" s="166">
        <v>24542</v>
      </c>
      <c r="AA23" s="166">
        <v>26638</v>
      </c>
      <c r="AB23" s="166">
        <v>27530</v>
      </c>
      <c r="AC23" s="166">
        <v>32003</v>
      </c>
      <c r="AD23" s="166">
        <v>31778</v>
      </c>
      <c r="AE23" s="166">
        <v>29249</v>
      </c>
      <c r="AF23" s="166">
        <v>33474</v>
      </c>
      <c r="AG23" s="166">
        <v>36119</v>
      </c>
      <c r="AH23" s="166">
        <v>42139</v>
      </c>
      <c r="AI23" s="166">
        <v>41089.97</v>
      </c>
      <c r="AJ23" s="166">
        <v>51441</v>
      </c>
      <c r="AK23" s="166">
        <v>48453</v>
      </c>
      <c r="AL23" s="166">
        <v>41712</v>
      </c>
      <c r="AM23" s="166">
        <v>33890</v>
      </c>
      <c r="AN23" s="166">
        <v>39563.81</v>
      </c>
      <c r="AO23" s="166">
        <v>37250</v>
      </c>
      <c r="AP23" s="166">
        <v>33671</v>
      </c>
      <c r="AQ23" s="166">
        <v>32590</v>
      </c>
      <c r="AR23" s="166">
        <v>30534</v>
      </c>
      <c r="AS23" s="374">
        <v>29776</v>
      </c>
      <c r="AT23" s="166"/>
      <c r="AU23" s="166"/>
      <c r="AV23" s="166"/>
      <c r="AW23" s="166"/>
      <c r="AX23" s="166"/>
      <c r="AY23" s="166"/>
      <c r="AZ23" s="166"/>
      <c r="BA23" s="166"/>
      <c r="BB23" s="166"/>
      <c r="BC23" s="166"/>
      <c r="BD23" s="166"/>
      <c r="BE23" s="166"/>
      <c r="BF23" s="166"/>
      <c r="BG23" s="166"/>
      <c r="BH23" s="166"/>
      <c r="BI23" s="166"/>
      <c r="BJ23" s="166"/>
      <c r="BK23" s="166"/>
      <c r="BL23" s="166"/>
      <c r="BM23" s="166"/>
      <c r="BN23" s="166"/>
      <c r="BO23" s="166"/>
      <c r="BP23" s="166"/>
      <c r="BQ23" s="166"/>
      <c r="BR23" s="166"/>
      <c r="BS23" s="166"/>
      <c r="BT23" s="166"/>
      <c r="BU23" s="166"/>
      <c r="BV23" s="166"/>
      <c r="BW23" s="166"/>
      <c r="BX23" s="166"/>
      <c r="BY23" s="166"/>
      <c r="BZ23" s="166"/>
      <c r="CA23" s="166"/>
      <c r="CB23" s="166"/>
      <c r="CC23" s="166"/>
      <c r="CD23" s="166"/>
      <c r="CE23" s="166"/>
      <c r="CF23" s="166"/>
      <c r="CG23" s="166"/>
      <c r="CH23" s="166"/>
      <c r="CI23" s="166"/>
      <c r="CJ23" s="166"/>
      <c r="CK23" s="166"/>
      <c r="CL23" s="166"/>
      <c r="CM23" s="166"/>
      <c r="CN23" s="166"/>
      <c r="CO23" s="166"/>
      <c r="CP23" s="166"/>
      <c r="CQ23" s="166"/>
      <c r="CR23" s="166"/>
      <c r="CS23" s="166"/>
      <c r="CT23" s="166"/>
      <c r="CU23" s="166"/>
      <c r="CV23" s="166"/>
      <c r="CW23" s="166"/>
      <c r="CX23" s="166"/>
      <c r="CY23" s="166"/>
      <c r="CZ23" s="166"/>
      <c r="DA23" s="166"/>
      <c r="DB23" s="166"/>
      <c r="DC23" s="166"/>
      <c r="DD23" s="166"/>
      <c r="DE23" s="166"/>
      <c r="DF23" s="166"/>
      <c r="DG23" s="166"/>
      <c r="DH23" s="166"/>
      <c r="DI23" s="166"/>
      <c r="DJ23" s="166"/>
      <c r="DK23" s="166"/>
      <c r="DL23" s="166"/>
      <c r="DM23" s="166"/>
      <c r="DN23" s="166"/>
      <c r="DO23" s="166"/>
      <c r="DP23" s="167"/>
    </row>
    <row r="24" spans="1:120" s="164" customFormat="1" ht="15" customHeight="1" x14ac:dyDescent="0.2">
      <c r="A24" s="172" t="s">
        <v>590</v>
      </c>
      <c r="B24" s="165">
        <v>6350</v>
      </c>
      <c r="C24" s="165">
        <v>6635</v>
      </c>
      <c r="D24" s="165">
        <v>6976</v>
      </c>
      <c r="E24" s="165">
        <v>7812</v>
      </c>
      <c r="F24" s="165">
        <v>9737</v>
      </c>
      <c r="G24" s="165">
        <v>11033</v>
      </c>
      <c r="H24" s="166">
        <v>10427</v>
      </c>
      <c r="I24" s="166">
        <v>13721</v>
      </c>
      <c r="J24" s="166">
        <v>13922</v>
      </c>
      <c r="K24" s="166">
        <v>13066</v>
      </c>
      <c r="L24" s="166">
        <v>10687</v>
      </c>
      <c r="M24" s="166">
        <v>8750</v>
      </c>
      <c r="N24" s="166">
        <v>8016</v>
      </c>
      <c r="O24" s="166">
        <v>8581</v>
      </c>
      <c r="P24" s="166">
        <v>8748</v>
      </c>
      <c r="Q24" s="166">
        <v>7133</v>
      </c>
      <c r="R24" s="166">
        <v>8500</v>
      </c>
      <c r="S24" s="166">
        <v>9367</v>
      </c>
      <c r="T24" s="166">
        <v>9123</v>
      </c>
      <c r="U24" s="166">
        <v>9824</v>
      </c>
      <c r="V24" s="166">
        <v>10479</v>
      </c>
      <c r="W24" s="166">
        <v>12408</v>
      </c>
      <c r="X24" s="166">
        <v>12974</v>
      </c>
      <c r="Y24" s="166">
        <v>12023</v>
      </c>
      <c r="Z24" s="166">
        <v>14841</v>
      </c>
      <c r="AA24" s="166">
        <v>16024</v>
      </c>
      <c r="AB24" s="166">
        <v>15620</v>
      </c>
      <c r="AC24" s="166">
        <v>15366</v>
      </c>
      <c r="AD24" s="166">
        <v>15814</v>
      </c>
      <c r="AE24" s="166">
        <v>16118</v>
      </c>
      <c r="AF24" s="166">
        <v>15469</v>
      </c>
      <c r="AG24" s="166">
        <v>15839</v>
      </c>
      <c r="AH24" s="166">
        <v>16841</v>
      </c>
      <c r="AI24" s="166">
        <v>21339.99</v>
      </c>
      <c r="AJ24" s="166">
        <v>23061</v>
      </c>
      <c r="AK24" s="166">
        <v>23158</v>
      </c>
      <c r="AL24" s="166">
        <v>23455</v>
      </c>
      <c r="AM24" s="166">
        <v>23541</v>
      </c>
      <c r="AN24" s="166">
        <v>30634</v>
      </c>
      <c r="AO24" s="166">
        <v>27829</v>
      </c>
      <c r="AP24" s="166">
        <v>29120</v>
      </c>
      <c r="AQ24" s="166">
        <v>28569</v>
      </c>
      <c r="AR24" s="166">
        <v>29376</v>
      </c>
      <c r="AS24" s="374">
        <v>26335</v>
      </c>
      <c r="AT24" s="166"/>
      <c r="AU24" s="166"/>
      <c r="AV24" s="166"/>
      <c r="AW24" s="166"/>
      <c r="AX24" s="166"/>
      <c r="AY24" s="166"/>
      <c r="AZ24" s="166"/>
      <c r="BA24" s="166"/>
      <c r="BB24" s="166"/>
      <c r="BC24" s="166"/>
      <c r="BD24" s="166"/>
      <c r="BE24" s="166"/>
      <c r="BF24" s="166"/>
      <c r="BG24" s="166"/>
      <c r="BH24" s="166"/>
      <c r="BI24" s="166"/>
      <c r="BJ24" s="166"/>
      <c r="BK24" s="166"/>
      <c r="BL24" s="166"/>
      <c r="BM24" s="166"/>
      <c r="BN24" s="166"/>
      <c r="BO24" s="166"/>
      <c r="BP24" s="166"/>
      <c r="BQ24" s="166"/>
      <c r="BR24" s="166"/>
      <c r="BS24" s="166"/>
      <c r="BT24" s="166"/>
      <c r="BU24" s="166"/>
      <c r="BV24" s="166"/>
      <c r="BW24" s="166"/>
      <c r="BX24" s="166"/>
      <c r="BY24" s="166"/>
      <c r="BZ24" s="166"/>
      <c r="CA24" s="166"/>
      <c r="CB24" s="166"/>
      <c r="CC24" s="166"/>
      <c r="CD24" s="166"/>
      <c r="CE24" s="166"/>
      <c r="CF24" s="166"/>
      <c r="CG24" s="166"/>
      <c r="CH24" s="166"/>
      <c r="CI24" s="166"/>
      <c r="CJ24" s="166"/>
      <c r="CK24" s="166"/>
      <c r="CL24" s="166"/>
      <c r="CM24" s="166"/>
      <c r="CN24" s="166"/>
      <c r="CO24" s="166"/>
      <c r="CP24" s="166"/>
      <c r="CQ24" s="166"/>
      <c r="CR24" s="166"/>
      <c r="CS24" s="166"/>
      <c r="CT24" s="166"/>
      <c r="CU24" s="166"/>
      <c r="CV24" s="166"/>
      <c r="CW24" s="166"/>
      <c r="CX24" s="166"/>
      <c r="CY24" s="166"/>
      <c r="CZ24" s="166"/>
      <c r="DA24" s="166"/>
      <c r="DB24" s="166"/>
      <c r="DC24" s="166"/>
      <c r="DD24" s="166"/>
      <c r="DE24" s="166"/>
      <c r="DF24" s="166"/>
      <c r="DG24" s="166"/>
      <c r="DH24" s="166"/>
      <c r="DI24" s="166"/>
      <c r="DJ24" s="166"/>
      <c r="DK24" s="166"/>
      <c r="DL24" s="166"/>
      <c r="DM24" s="166"/>
      <c r="DN24" s="166"/>
      <c r="DO24" s="166"/>
      <c r="DP24" s="167"/>
    </row>
    <row r="25" spans="1:120" s="164" customFormat="1" ht="15" customHeight="1" x14ac:dyDescent="0.2">
      <c r="A25" s="172" t="s">
        <v>591</v>
      </c>
      <c r="B25" s="165">
        <v>9662</v>
      </c>
      <c r="C25" s="165">
        <v>11193</v>
      </c>
      <c r="D25" s="165">
        <v>11393</v>
      </c>
      <c r="E25" s="165">
        <v>12926</v>
      </c>
      <c r="F25" s="165">
        <v>13317</v>
      </c>
      <c r="G25" s="165">
        <v>12984</v>
      </c>
      <c r="H25" s="166">
        <v>14045</v>
      </c>
      <c r="I25" s="166">
        <v>14267</v>
      </c>
      <c r="J25" s="166">
        <v>14540</v>
      </c>
      <c r="K25" s="166">
        <v>14465</v>
      </c>
      <c r="L25" s="166">
        <v>15758</v>
      </c>
      <c r="M25" s="166">
        <v>16026</v>
      </c>
      <c r="N25" s="166">
        <v>17382</v>
      </c>
      <c r="O25" s="166">
        <v>21059</v>
      </c>
      <c r="P25" s="166">
        <v>23964</v>
      </c>
      <c r="Q25" s="166">
        <v>25653</v>
      </c>
      <c r="R25" s="166">
        <v>26814</v>
      </c>
      <c r="S25" s="166">
        <v>28733</v>
      </c>
      <c r="T25" s="166">
        <v>30327</v>
      </c>
      <c r="U25" s="166">
        <v>30483</v>
      </c>
      <c r="V25" s="166">
        <v>30161</v>
      </c>
      <c r="W25" s="166">
        <v>29870</v>
      </c>
      <c r="X25" s="166">
        <v>29594</v>
      </c>
      <c r="Y25" s="166">
        <v>30362</v>
      </c>
      <c r="Z25" s="166">
        <v>32056</v>
      </c>
      <c r="AA25" s="166">
        <v>31794</v>
      </c>
      <c r="AB25" s="166">
        <v>32925</v>
      </c>
      <c r="AC25" s="166">
        <v>33740</v>
      </c>
      <c r="AD25" s="166">
        <v>33771</v>
      </c>
      <c r="AE25" s="166">
        <v>33198</v>
      </c>
      <c r="AF25" s="166">
        <v>33872</v>
      </c>
      <c r="AG25" s="166">
        <v>34835</v>
      </c>
      <c r="AH25" s="166">
        <v>33592</v>
      </c>
      <c r="AI25" s="166">
        <v>32091.19</v>
      </c>
      <c r="AJ25" s="166">
        <v>30279</v>
      </c>
      <c r="AK25" s="166">
        <v>31129</v>
      </c>
      <c r="AL25" s="166">
        <v>28719</v>
      </c>
      <c r="AM25" s="166">
        <v>27010</v>
      </c>
      <c r="AN25" s="166">
        <v>30345.29</v>
      </c>
      <c r="AO25" s="166">
        <v>29261</v>
      </c>
      <c r="AP25" s="166">
        <v>27705</v>
      </c>
      <c r="AQ25" s="166">
        <v>26479</v>
      </c>
      <c r="AR25" s="166">
        <v>24956</v>
      </c>
      <c r="AS25" s="374">
        <v>24261</v>
      </c>
      <c r="AT25" s="166"/>
      <c r="AU25" s="166"/>
      <c r="AV25" s="166"/>
      <c r="AW25" s="166"/>
      <c r="AX25" s="166"/>
      <c r="AY25" s="166"/>
      <c r="AZ25" s="166"/>
      <c r="BA25" s="166"/>
      <c r="BB25" s="166"/>
      <c r="BC25" s="166"/>
      <c r="BD25" s="166"/>
      <c r="BE25" s="166"/>
      <c r="BF25" s="166"/>
      <c r="BG25" s="166"/>
      <c r="BH25" s="166"/>
      <c r="BI25" s="166"/>
      <c r="BJ25" s="166"/>
      <c r="BK25" s="166"/>
      <c r="BL25" s="166"/>
      <c r="BM25" s="166"/>
      <c r="BN25" s="166"/>
      <c r="BO25" s="166"/>
      <c r="BP25" s="166"/>
      <c r="BQ25" s="166"/>
      <c r="BR25" s="166"/>
      <c r="BS25" s="166"/>
      <c r="BT25" s="166"/>
      <c r="BU25" s="166"/>
      <c r="BV25" s="166"/>
      <c r="BW25" s="166"/>
      <c r="BX25" s="166"/>
      <c r="BY25" s="166"/>
      <c r="BZ25" s="166"/>
      <c r="CA25" s="166"/>
      <c r="CB25" s="166"/>
      <c r="CC25" s="166"/>
      <c r="CD25" s="166"/>
      <c r="CE25" s="166"/>
      <c r="CF25" s="166"/>
      <c r="CG25" s="166"/>
      <c r="CH25" s="166"/>
      <c r="CI25" s="166"/>
      <c r="CJ25" s="166"/>
      <c r="CK25" s="166"/>
      <c r="CL25" s="166"/>
      <c r="CM25" s="166"/>
      <c r="CN25" s="166"/>
      <c r="CO25" s="166"/>
      <c r="CP25" s="166"/>
      <c r="CQ25" s="166"/>
      <c r="CR25" s="166"/>
      <c r="CS25" s="166"/>
      <c r="CT25" s="166"/>
      <c r="CU25" s="166"/>
      <c r="CV25" s="166"/>
      <c r="CW25" s="166"/>
      <c r="CX25" s="166"/>
      <c r="CY25" s="166"/>
      <c r="CZ25" s="166"/>
      <c r="DA25" s="166"/>
      <c r="DB25" s="166"/>
      <c r="DC25" s="166"/>
      <c r="DD25" s="166"/>
      <c r="DE25" s="166"/>
      <c r="DF25" s="166"/>
      <c r="DG25" s="166"/>
      <c r="DH25" s="166"/>
      <c r="DI25" s="166"/>
      <c r="DJ25" s="166"/>
      <c r="DK25" s="166"/>
      <c r="DL25" s="166"/>
      <c r="DM25" s="166"/>
      <c r="DN25" s="166"/>
      <c r="DO25" s="166"/>
      <c r="DP25" s="167"/>
    </row>
    <row r="26" spans="1:120" s="164" customFormat="1" ht="15" customHeight="1" x14ac:dyDescent="0.2">
      <c r="A26" s="139" t="s">
        <v>394</v>
      </c>
      <c r="B26" s="165">
        <v>1152</v>
      </c>
      <c r="C26" s="165">
        <v>1360</v>
      </c>
      <c r="D26" s="165">
        <v>1494</v>
      </c>
      <c r="E26" s="165">
        <v>1758</v>
      </c>
      <c r="F26" s="165">
        <v>1879</v>
      </c>
      <c r="G26" s="165">
        <v>1967</v>
      </c>
      <c r="H26" s="166">
        <v>2339</v>
      </c>
      <c r="I26" s="166">
        <v>2942</v>
      </c>
      <c r="J26" s="166">
        <v>3251</v>
      </c>
      <c r="K26" s="166">
        <v>3507</v>
      </c>
      <c r="L26" s="166">
        <v>4008</v>
      </c>
      <c r="M26" s="166">
        <v>4352</v>
      </c>
      <c r="N26" s="166">
        <v>4731</v>
      </c>
      <c r="O26" s="166">
        <v>5265</v>
      </c>
      <c r="P26" s="166">
        <v>5760</v>
      </c>
      <c r="Q26" s="166">
        <v>6173</v>
      </c>
      <c r="R26" s="166">
        <v>6682</v>
      </c>
      <c r="S26" s="166">
        <v>7383</v>
      </c>
      <c r="T26" s="166">
        <v>8026</v>
      </c>
      <c r="U26" s="166">
        <v>8969</v>
      </c>
      <c r="V26" s="166">
        <v>9788</v>
      </c>
      <c r="W26" s="166">
        <v>10808</v>
      </c>
      <c r="X26" s="166">
        <v>11824</v>
      </c>
      <c r="Y26" s="166">
        <v>12444</v>
      </c>
      <c r="Z26" s="166">
        <v>13079</v>
      </c>
      <c r="AA26" s="166">
        <v>13944</v>
      </c>
      <c r="AB26" s="166">
        <v>14831</v>
      </c>
      <c r="AC26" s="166">
        <v>15870</v>
      </c>
      <c r="AD26" s="166">
        <v>20900</v>
      </c>
      <c r="AE26" s="166">
        <v>21739</v>
      </c>
      <c r="AF26" s="166">
        <v>22527</v>
      </c>
      <c r="AG26" s="166">
        <v>23560</v>
      </c>
      <c r="AH26" s="166">
        <v>24300</v>
      </c>
      <c r="AI26" s="166">
        <v>25568</v>
      </c>
      <c r="AJ26" s="166">
        <v>25951</v>
      </c>
      <c r="AK26" s="166">
        <v>26508</v>
      </c>
      <c r="AL26" s="166">
        <v>26630</v>
      </c>
      <c r="AM26" s="166">
        <v>27122</v>
      </c>
      <c r="AN26" s="166">
        <v>29215</v>
      </c>
      <c r="AO26" s="166">
        <v>29466</v>
      </c>
      <c r="AP26" s="166">
        <v>28612</v>
      </c>
      <c r="AQ26" s="166">
        <v>28454</v>
      </c>
      <c r="AR26" s="166">
        <v>27712</v>
      </c>
      <c r="AS26" s="374">
        <v>27179</v>
      </c>
      <c r="AT26" s="166"/>
      <c r="AU26" s="166"/>
      <c r="AV26" s="166"/>
      <c r="AW26" s="166"/>
      <c r="AX26" s="166"/>
      <c r="AY26" s="166"/>
      <c r="AZ26" s="166"/>
      <c r="BA26" s="166"/>
      <c r="BB26" s="166"/>
      <c r="BC26" s="166"/>
      <c r="BD26" s="166"/>
      <c r="BE26" s="166"/>
      <c r="BF26" s="166"/>
      <c r="BG26" s="166"/>
      <c r="BH26" s="166"/>
      <c r="BI26" s="166"/>
      <c r="BJ26" s="166"/>
      <c r="BK26" s="166"/>
      <c r="BL26" s="166"/>
      <c r="BM26" s="166"/>
      <c r="BN26" s="166"/>
      <c r="BO26" s="166"/>
      <c r="BP26" s="166"/>
      <c r="BQ26" s="166"/>
      <c r="BR26" s="166"/>
      <c r="BS26" s="166"/>
      <c r="BT26" s="166"/>
      <c r="BU26" s="166"/>
      <c r="BV26" s="166"/>
      <c r="BW26" s="166"/>
      <c r="BX26" s="166"/>
      <c r="BY26" s="166"/>
      <c r="BZ26" s="166"/>
      <c r="CA26" s="166"/>
      <c r="CB26" s="166"/>
      <c r="CC26" s="166"/>
      <c r="CD26" s="166"/>
      <c r="CE26" s="166"/>
      <c r="CF26" s="166"/>
      <c r="CG26" s="166"/>
      <c r="CH26" s="166"/>
      <c r="CI26" s="166"/>
      <c r="CJ26" s="166"/>
      <c r="CK26" s="166"/>
      <c r="CL26" s="166"/>
      <c r="CM26" s="166"/>
      <c r="CN26" s="166"/>
      <c r="CO26" s="166"/>
      <c r="CP26" s="166"/>
      <c r="CQ26" s="166"/>
      <c r="CR26" s="166"/>
      <c r="CS26" s="166"/>
      <c r="CT26" s="166"/>
      <c r="CU26" s="166"/>
      <c r="CV26" s="166"/>
      <c r="CW26" s="166"/>
      <c r="CX26" s="166"/>
      <c r="CY26" s="166"/>
      <c r="CZ26" s="166"/>
      <c r="DA26" s="166"/>
      <c r="DB26" s="166"/>
      <c r="DC26" s="166"/>
      <c r="DD26" s="166"/>
      <c r="DE26" s="166"/>
      <c r="DF26" s="166"/>
      <c r="DG26" s="166"/>
      <c r="DH26" s="166"/>
      <c r="DI26" s="166"/>
      <c r="DJ26" s="166"/>
      <c r="DK26" s="166"/>
      <c r="DL26" s="166"/>
      <c r="DM26" s="166"/>
      <c r="DN26" s="166"/>
      <c r="DO26" s="166"/>
      <c r="DP26" s="167"/>
    </row>
    <row r="27" spans="1:120" s="164" customFormat="1" ht="15" customHeight="1" x14ac:dyDescent="0.2">
      <c r="A27" s="139" t="s">
        <v>592</v>
      </c>
      <c r="B27" s="165">
        <v>7344</v>
      </c>
      <c r="C27" s="165">
        <v>7428</v>
      </c>
      <c r="D27" s="165">
        <v>7284</v>
      </c>
      <c r="E27" s="165">
        <v>7643</v>
      </c>
      <c r="F27" s="165">
        <v>8243</v>
      </c>
      <c r="G27" s="165">
        <v>8898</v>
      </c>
      <c r="H27" s="166">
        <v>9231</v>
      </c>
      <c r="I27" s="166">
        <v>9155</v>
      </c>
      <c r="J27" s="166">
        <v>9134</v>
      </c>
      <c r="K27" s="166">
        <v>8847</v>
      </c>
      <c r="L27" s="166">
        <v>8619</v>
      </c>
      <c r="M27" s="166">
        <v>8369</v>
      </c>
      <c r="N27" s="166">
        <v>8226</v>
      </c>
      <c r="O27" s="166">
        <v>9010</v>
      </c>
      <c r="P27" s="166">
        <v>8607</v>
      </c>
      <c r="Q27" s="166">
        <v>8387</v>
      </c>
      <c r="R27" s="166">
        <v>9451</v>
      </c>
      <c r="S27" s="166">
        <v>10073</v>
      </c>
      <c r="T27" s="166">
        <v>9989</v>
      </c>
      <c r="U27" s="166">
        <v>9670</v>
      </c>
      <c r="V27" s="166">
        <v>10631</v>
      </c>
      <c r="W27" s="166">
        <v>10437</v>
      </c>
      <c r="X27" s="166">
        <v>10546</v>
      </c>
      <c r="Y27" s="166">
        <v>9793</v>
      </c>
      <c r="Z27" s="166">
        <v>10558</v>
      </c>
      <c r="AA27" s="166">
        <v>10540</v>
      </c>
      <c r="AB27" s="166">
        <v>10651</v>
      </c>
      <c r="AC27" s="166">
        <v>10410</v>
      </c>
      <c r="AD27" s="166">
        <v>11060</v>
      </c>
      <c r="AE27" s="166">
        <v>11054</v>
      </c>
      <c r="AF27" s="166">
        <v>10704</v>
      </c>
      <c r="AG27" s="166">
        <v>10462</v>
      </c>
      <c r="AH27" s="166">
        <v>11257</v>
      </c>
      <c r="AI27" s="166">
        <v>11107.71</v>
      </c>
      <c r="AJ27" s="166">
        <v>10317</v>
      </c>
      <c r="AK27" s="166">
        <v>9794</v>
      </c>
      <c r="AL27" s="166">
        <v>9901</v>
      </c>
      <c r="AM27" s="166">
        <v>9192</v>
      </c>
      <c r="AN27" s="166">
        <v>9577</v>
      </c>
      <c r="AO27" s="166">
        <v>8606</v>
      </c>
      <c r="AP27" s="166">
        <v>7798</v>
      </c>
      <c r="AQ27" s="166">
        <v>7195</v>
      </c>
      <c r="AR27" s="166">
        <v>6829</v>
      </c>
      <c r="AS27" s="374">
        <v>6566</v>
      </c>
      <c r="AT27" s="166"/>
      <c r="AU27" s="166"/>
      <c r="AV27" s="166"/>
      <c r="AW27" s="166"/>
      <c r="AX27" s="166"/>
      <c r="AY27" s="166"/>
      <c r="AZ27" s="166"/>
      <c r="BA27" s="166"/>
      <c r="BB27" s="166"/>
      <c r="BC27" s="166"/>
      <c r="BD27" s="166"/>
      <c r="BE27" s="166"/>
      <c r="BF27" s="166"/>
      <c r="BG27" s="166"/>
      <c r="BH27" s="166"/>
      <c r="BI27" s="166"/>
      <c r="BJ27" s="166"/>
      <c r="BK27" s="166"/>
      <c r="BL27" s="166"/>
      <c r="BM27" s="166"/>
      <c r="BN27" s="166"/>
      <c r="BO27" s="166"/>
      <c r="BP27" s="166"/>
      <c r="BQ27" s="166"/>
      <c r="BR27" s="166"/>
      <c r="BS27" s="166"/>
      <c r="BT27" s="166"/>
      <c r="BU27" s="166"/>
      <c r="BV27" s="166"/>
      <c r="BW27" s="166"/>
      <c r="BX27" s="166"/>
      <c r="BY27" s="166"/>
      <c r="BZ27" s="166"/>
      <c r="CA27" s="166"/>
      <c r="CB27" s="166"/>
      <c r="CC27" s="166"/>
      <c r="CD27" s="166"/>
      <c r="CE27" s="166"/>
      <c r="CF27" s="166"/>
      <c r="CG27" s="166"/>
      <c r="CH27" s="166"/>
      <c r="CI27" s="166"/>
      <c r="CJ27" s="166"/>
      <c r="CK27" s="166"/>
      <c r="CL27" s="166"/>
      <c r="CM27" s="166"/>
      <c r="CN27" s="166"/>
      <c r="CO27" s="166"/>
      <c r="CP27" s="166"/>
      <c r="CQ27" s="166"/>
      <c r="CR27" s="166"/>
      <c r="CS27" s="166"/>
      <c r="CT27" s="166"/>
      <c r="CU27" s="166"/>
      <c r="CV27" s="166"/>
      <c r="CW27" s="166"/>
      <c r="CX27" s="166"/>
      <c r="CY27" s="166"/>
      <c r="CZ27" s="166"/>
      <c r="DA27" s="166"/>
      <c r="DB27" s="166"/>
      <c r="DC27" s="166"/>
      <c r="DD27" s="166"/>
      <c r="DE27" s="166"/>
      <c r="DF27" s="166"/>
      <c r="DG27" s="166"/>
      <c r="DH27" s="166"/>
      <c r="DI27" s="166"/>
      <c r="DJ27" s="166"/>
      <c r="DK27" s="166"/>
      <c r="DL27" s="166"/>
      <c r="DM27" s="166"/>
      <c r="DN27" s="166"/>
      <c r="DO27" s="166"/>
      <c r="DP27" s="167"/>
    </row>
    <row r="28" spans="1:120" s="164" customFormat="1" ht="15" customHeight="1" x14ac:dyDescent="0.2">
      <c r="A28" s="139" t="s">
        <v>593</v>
      </c>
      <c r="B28" s="165">
        <v>6499</v>
      </c>
      <c r="C28" s="165">
        <v>7063</v>
      </c>
      <c r="D28" s="165">
        <v>7870</v>
      </c>
      <c r="E28" s="165">
        <v>9077</v>
      </c>
      <c r="F28" s="165">
        <v>10075</v>
      </c>
      <c r="G28" s="165">
        <v>11394</v>
      </c>
      <c r="H28" s="166">
        <v>12824</v>
      </c>
      <c r="I28" s="166">
        <v>13056</v>
      </c>
      <c r="J28" s="166">
        <v>12917</v>
      </c>
      <c r="K28" s="166">
        <v>12852</v>
      </c>
      <c r="L28" s="166">
        <v>12730</v>
      </c>
      <c r="M28" s="166">
        <v>12533</v>
      </c>
      <c r="N28" s="166">
        <v>12358</v>
      </c>
      <c r="O28" s="166">
        <v>12360</v>
      </c>
      <c r="P28" s="166">
        <v>12546</v>
      </c>
      <c r="Q28" s="166">
        <v>12593</v>
      </c>
      <c r="R28" s="166">
        <v>13025</v>
      </c>
      <c r="S28" s="166">
        <v>13590</v>
      </c>
      <c r="T28" s="166">
        <v>13831</v>
      </c>
      <c r="U28" s="166">
        <v>14050</v>
      </c>
      <c r="V28" s="166">
        <v>14216</v>
      </c>
      <c r="W28" s="166">
        <v>14141</v>
      </c>
      <c r="X28" s="166">
        <v>14300</v>
      </c>
      <c r="Y28" s="166">
        <v>14280</v>
      </c>
      <c r="Z28" s="166">
        <v>13931</v>
      </c>
      <c r="AA28" s="166">
        <v>13848</v>
      </c>
      <c r="AB28" s="166">
        <v>13614</v>
      </c>
      <c r="AC28" s="166">
        <v>13008</v>
      </c>
      <c r="AD28" s="166">
        <v>12840</v>
      </c>
      <c r="AE28" s="166">
        <v>12787</v>
      </c>
      <c r="AF28" s="166">
        <v>12686</v>
      </c>
      <c r="AG28" s="166">
        <v>12388</v>
      </c>
      <c r="AH28" s="166">
        <v>11789</v>
      </c>
      <c r="AI28" s="166">
        <v>11050</v>
      </c>
      <c r="AJ28" s="166">
        <v>10391</v>
      </c>
      <c r="AK28" s="166">
        <v>9666</v>
      </c>
      <c r="AL28" s="166">
        <v>8623</v>
      </c>
      <c r="AM28" s="166">
        <v>7984</v>
      </c>
      <c r="AN28" s="166">
        <v>8513</v>
      </c>
      <c r="AO28" s="166">
        <v>8091</v>
      </c>
      <c r="AP28" s="166">
        <v>7295</v>
      </c>
      <c r="AQ28" s="166">
        <v>7010</v>
      </c>
      <c r="AR28" s="166">
        <v>6933</v>
      </c>
      <c r="AS28" s="374">
        <v>7249</v>
      </c>
      <c r="AT28" s="166"/>
      <c r="AU28" s="166"/>
      <c r="AV28" s="166"/>
      <c r="AW28" s="166"/>
      <c r="AX28" s="166"/>
      <c r="AY28" s="166"/>
      <c r="AZ28" s="166"/>
      <c r="BA28" s="166"/>
      <c r="BB28" s="166"/>
      <c r="BC28" s="166"/>
      <c r="BD28" s="166"/>
      <c r="BE28" s="166"/>
      <c r="BF28" s="166"/>
      <c r="BG28" s="166"/>
      <c r="BH28" s="166"/>
      <c r="BI28" s="166"/>
      <c r="BJ28" s="166"/>
      <c r="BK28" s="166"/>
      <c r="BL28" s="166"/>
      <c r="BM28" s="166"/>
      <c r="BN28" s="166"/>
      <c r="BO28" s="166"/>
      <c r="BP28" s="166"/>
      <c r="BQ28" s="166"/>
      <c r="BR28" s="166"/>
      <c r="BS28" s="166"/>
      <c r="BT28" s="166"/>
      <c r="BU28" s="166"/>
      <c r="BV28" s="166"/>
      <c r="BW28" s="166"/>
      <c r="BX28" s="166"/>
      <c r="BY28" s="166"/>
      <c r="BZ28" s="166"/>
      <c r="CA28" s="166"/>
      <c r="CB28" s="166"/>
      <c r="CC28" s="166"/>
      <c r="CD28" s="166"/>
      <c r="CE28" s="166"/>
      <c r="CF28" s="166"/>
      <c r="CG28" s="166"/>
      <c r="CH28" s="166"/>
      <c r="CI28" s="166"/>
      <c r="CJ28" s="166"/>
      <c r="CK28" s="166"/>
      <c r="CL28" s="166"/>
      <c r="CM28" s="166"/>
      <c r="CN28" s="166"/>
      <c r="CO28" s="166"/>
      <c r="CP28" s="166"/>
      <c r="CQ28" s="166"/>
      <c r="CR28" s="166"/>
      <c r="CS28" s="166"/>
      <c r="CT28" s="166"/>
      <c r="CU28" s="166"/>
      <c r="CV28" s="166"/>
      <c r="CW28" s="166"/>
      <c r="CX28" s="166"/>
      <c r="CY28" s="166"/>
      <c r="CZ28" s="166"/>
      <c r="DA28" s="166"/>
      <c r="DB28" s="166"/>
      <c r="DC28" s="166"/>
      <c r="DD28" s="166"/>
      <c r="DE28" s="166"/>
      <c r="DF28" s="166"/>
      <c r="DG28" s="166"/>
      <c r="DH28" s="166"/>
      <c r="DI28" s="166"/>
      <c r="DJ28" s="166"/>
      <c r="DK28" s="166"/>
      <c r="DL28" s="166"/>
      <c r="DM28" s="166"/>
      <c r="DN28" s="166"/>
      <c r="DO28" s="166"/>
      <c r="DP28" s="167"/>
    </row>
    <row r="29" spans="1:120" s="164" customFormat="1" ht="15" customHeight="1" x14ac:dyDescent="0.2">
      <c r="A29" s="595" t="s">
        <v>594</v>
      </c>
      <c r="B29" s="165">
        <v>2641</v>
      </c>
      <c r="C29" s="165">
        <v>2692</v>
      </c>
      <c r="D29" s="165">
        <v>3168</v>
      </c>
      <c r="E29" s="165">
        <v>3132</v>
      </c>
      <c r="F29" s="165">
        <v>3190</v>
      </c>
      <c r="G29" s="165">
        <v>3656</v>
      </c>
      <c r="H29" s="166">
        <v>3734</v>
      </c>
      <c r="I29" s="166">
        <v>3593</v>
      </c>
      <c r="J29" s="166">
        <v>3661</v>
      </c>
      <c r="K29" s="166">
        <v>3698</v>
      </c>
      <c r="L29" s="166">
        <v>4019</v>
      </c>
      <c r="M29" s="166">
        <v>4122</v>
      </c>
      <c r="N29" s="166">
        <v>4144</v>
      </c>
      <c r="O29" s="166">
        <v>4215</v>
      </c>
      <c r="P29" s="166">
        <v>4487</v>
      </c>
      <c r="Q29" s="166">
        <v>4241</v>
      </c>
      <c r="R29" s="166">
        <v>4380</v>
      </c>
      <c r="S29" s="166">
        <v>4738</v>
      </c>
      <c r="T29" s="166">
        <v>4714</v>
      </c>
      <c r="U29" s="166">
        <v>4395</v>
      </c>
      <c r="V29" s="166">
        <v>4358</v>
      </c>
      <c r="W29" s="166">
        <v>4539</v>
      </c>
      <c r="X29" s="166">
        <v>4553</v>
      </c>
      <c r="Y29" s="166">
        <v>4653</v>
      </c>
      <c r="Z29" s="166">
        <v>4842</v>
      </c>
      <c r="AA29" s="166">
        <v>4953</v>
      </c>
      <c r="AB29" s="166">
        <v>4964</v>
      </c>
      <c r="AC29" s="166">
        <v>5258</v>
      </c>
      <c r="AD29" s="166">
        <v>6054</v>
      </c>
      <c r="AE29" s="166">
        <v>7376</v>
      </c>
      <c r="AF29" s="166">
        <v>7048</v>
      </c>
      <c r="AG29" s="166">
        <v>6657</v>
      </c>
      <c r="AH29" s="166">
        <v>6451</v>
      </c>
      <c r="AI29" s="166">
        <v>6059.34</v>
      </c>
      <c r="AJ29" s="166">
        <v>5588</v>
      </c>
      <c r="AK29" s="166">
        <v>5404</v>
      </c>
      <c r="AL29" s="166">
        <v>5309</v>
      </c>
      <c r="AM29" s="166">
        <v>5077</v>
      </c>
      <c r="AN29" s="166">
        <v>6462</v>
      </c>
      <c r="AO29" s="166">
        <v>6531</v>
      </c>
      <c r="AP29" s="166">
        <v>6643</v>
      </c>
      <c r="AQ29" s="166">
        <v>6719</v>
      </c>
      <c r="AR29" s="166">
        <v>5756</v>
      </c>
      <c r="AS29" s="374">
        <v>5618</v>
      </c>
      <c r="AT29" s="166"/>
      <c r="AU29" s="166"/>
      <c r="AV29" s="166"/>
      <c r="AW29" s="166"/>
      <c r="AX29" s="166"/>
      <c r="AY29" s="166"/>
      <c r="AZ29" s="166"/>
      <c r="BA29" s="166"/>
      <c r="BB29" s="166"/>
      <c r="BC29" s="166"/>
      <c r="BD29" s="166"/>
      <c r="BE29" s="166"/>
      <c r="BF29" s="166"/>
      <c r="BG29" s="166"/>
      <c r="BH29" s="166"/>
      <c r="BI29" s="166"/>
      <c r="BJ29" s="166"/>
      <c r="BK29" s="166"/>
      <c r="BL29" s="166"/>
      <c r="BM29" s="166"/>
      <c r="BN29" s="166"/>
      <c r="BO29" s="166"/>
      <c r="BP29" s="166"/>
      <c r="BQ29" s="166"/>
      <c r="BR29" s="166"/>
      <c r="BS29" s="166"/>
      <c r="BT29" s="166"/>
      <c r="BU29" s="166"/>
      <c r="BV29" s="166"/>
      <c r="BW29" s="166"/>
      <c r="BX29" s="166"/>
      <c r="BY29" s="166"/>
      <c r="BZ29" s="166"/>
      <c r="CA29" s="166"/>
      <c r="CB29" s="166"/>
      <c r="CC29" s="166"/>
      <c r="CD29" s="166"/>
      <c r="CE29" s="166"/>
      <c r="CF29" s="166"/>
      <c r="CG29" s="166"/>
      <c r="CH29" s="166"/>
      <c r="CI29" s="166"/>
      <c r="CJ29" s="166"/>
      <c r="CK29" s="166"/>
      <c r="CL29" s="166"/>
      <c r="CM29" s="166"/>
      <c r="CN29" s="166"/>
      <c r="CO29" s="166"/>
      <c r="CP29" s="166"/>
      <c r="CQ29" s="166"/>
      <c r="CR29" s="166"/>
      <c r="CS29" s="166"/>
      <c r="CT29" s="166"/>
      <c r="CU29" s="166"/>
      <c r="CV29" s="166"/>
      <c r="CW29" s="166"/>
      <c r="CX29" s="166"/>
      <c r="CY29" s="166"/>
      <c r="CZ29" s="166"/>
      <c r="DA29" s="166"/>
      <c r="DB29" s="166"/>
      <c r="DC29" s="166"/>
      <c r="DD29" s="166"/>
      <c r="DE29" s="166"/>
      <c r="DF29" s="166"/>
      <c r="DG29" s="166"/>
      <c r="DH29" s="166"/>
      <c r="DI29" s="166"/>
      <c r="DJ29" s="166"/>
      <c r="DK29" s="166"/>
      <c r="DL29" s="166"/>
      <c r="DM29" s="166"/>
      <c r="DN29" s="166"/>
      <c r="DO29" s="166"/>
      <c r="DP29" s="167"/>
    </row>
    <row r="30" spans="1:120" s="164" customFormat="1" ht="15" customHeight="1" x14ac:dyDescent="0.2">
      <c r="A30" s="139" t="s">
        <v>342</v>
      </c>
      <c r="B30" s="166">
        <v>0</v>
      </c>
      <c r="C30" s="166">
        <v>0</v>
      </c>
      <c r="D30" s="166">
        <v>0</v>
      </c>
      <c r="E30" s="166">
        <v>0</v>
      </c>
      <c r="F30" s="166">
        <v>0</v>
      </c>
      <c r="G30" s="166">
        <v>0</v>
      </c>
      <c r="H30" s="166">
        <v>0</v>
      </c>
      <c r="I30" s="166">
        <v>0</v>
      </c>
      <c r="J30" s="166">
        <v>0</v>
      </c>
      <c r="K30" s="166">
        <v>0</v>
      </c>
      <c r="L30" s="166">
        <v>0</v>
      </c>
      <c r="M30" s="166">
        <v>0</v>
      </c>
      <c r="N30" s="166">
        <v>0</v>
      </c>
      <c r="O30" s="166">
        <v>0</v>
      </c>
      <c r="P30" s="166">
        <v>0</v>
      </c>
      <c r="Q30" s="166">
        <v>0</v>
      </c>
      <c r="R30" s="166">
        <v>0</v>
      </c>
      <c r="S30" s="166">
        <v>0</v>
      </c>
      <c r="T30" s="166">
        <v>0</v>
      </c>
      <c r="U30" s="166">
        <v>0</v>
      </c>
      <c r="V30" s="166">
        <v>0</v>
      </c>
      <c r="W30" s="166">
        <v>0</v>
      </c>
      <c r="X30" s="166">
        <v>0</v>
      </c>
      <c r="Y30" s="166">
        <v>0</v>
      </c>
      <c r="Z30" s="166">
        <v>0</v>
      </c>
      <c r="AA30" s="166">
        <v>0</v>
      </c>
      <c r="AB30" s="166">
        <v>0</v>
      </c>
      <c r="AC30" s="166">
        <v>67399</v>
      </c>
      <c r="AD30" s="166">
        <v>67235</v>
      </c>
      <c r="AE30" s="166">
        <v>69504</v>
      </c>
      <c r="AF30" s="166">
        <v>69899</v>
      </c>
      <c r="AG30" s="166">
        <v>71611</v>
      </c>
      <c r="AH30" s="166">
        <v>73006</v>
      </c>
      <c r="AI30" s="166">
        <v>71334</v>
      </c>
      <c r="AJ30" s="166">
        <v>71904</v>
      </c>
      <c r="AK30" s="166">
        <v>69176</v>
      </c>
      <c r="AL30" s="166">
        <v>68800</v>
      </c>
      <c r="AM30" s="166">
        <v>65929</v>
      </c>
      <c r="AN30" s="165">
        <v>75263</v>
      </c>
      <c r="AO30" s="165">
        <v>78304</v>
      </c>
      <c r="AP30" s="165">
        <v>75251</v>
      </c>
      <c r="AQ30" s="165">
        <v>72950</v>
      </c>
      <c r="AR30" s="165">
        <v>71669</v>
      </c>
      <c r="AS30" s="220">
        <v>78267</v>
      </c>
      <c r="AT30" s="166"/>
      <c r="AU30" s="166"/>
      <c r="AV30" s="166"/>
      <c r="AW30" s="166"/>
      <c r="AX30" s="166"/>
      <c r="AY30" s="166"/>
      <c r="AZ30" s="166"/>
      <c r="BA30" s="166"/>
      <c r="BB30" s="166"/>
      <c r="BC30" s="166"/>
      <c r="BD30" s="166"/>
      <c r="BE30" s="166"/>
      <c r="BF30" s="166"/>
      <c r="BG30" s="166"/>
      <c r="BH30" s="166"/>
      <c r="BI30" s="166"/>
      <c r="BJ30" s="166"/>
      <c r="BK30" s="166"/>
      <c r="BL30" s="166"/>
      <c r="BM30" s="166"/>
      <c r="BN30" s="166"/>
      <c r="BO30" s="166"/>
      <c r="BP30" s="166"/>
      <c r="BQ30" s="166"/>
      <c r="BR30" s="166"/>
      <c r="BS30" s="166"/>
      <c r="BT30" s="166"/>
      <c r="BU30" s="166"/>
      <c r="BV30" s="166"/>
      <c r="BW30" s="166"/>
      <c r="BX30" s="166"/>
      <c r="BY30" s="166"/>
      <c r="BZ30" s="166"/>
      <c r="CA30" s="166"/>
      <c r="CB30" s="166"/>
      <c r="CC30" s="166"/>
      <c r="CD30" s="166"/>
      <c r="CE30" s="166"/>
      <c r="CF30" s="166"/>
      <c r="CG30" s="166"/>
      <c r="CH30" s="166"/>
      <c r="CI30" s="166"/>
      <c r="CJ30" s="166"/>
      <c r="CK30" s="166"/>
      <c r="CL30" s="166"/>
      <c r="CM30" s="166"/>
      <c r="CN30" s="166"/>
      <c r="CO30" s="166"/>
      <c r="CP30" s="166"/>
      <c r="CQ30" s="166"/>
      <c r="CR30" s="166"/>
      <c r="CS30" s="166"/>
      <c r="CT30" s="166"/>
      <c r="CU30" s="166"/>
      <c r="CV30" s="166"/>
      <c r="CW30" s="166"/>
      <c r="CX30" s="166"/>
      <c r="CY30" s="166"/>
      <c r="CZ30" s="166"/>
      <c r="DA30" s="166"/>
      <c r="DB30" s="166"/>
      <c r="DC30" s="166"/>
      <c r="DD30" s="166"/>
      <c r="DE30" s="166"/>
      <c r="DF30" s="166"/>
      <c r="DG30" s="166"/>
      <c r="DH30" s="166"/>
      <c r="DI30" s="166"/>
      <c r="DJ30" s="166"/>
      <c r="DK30" s="166"/>
      <c r="DL30" s="166"/>
      <c r="DM30" s="166"/>
      <c r="DN30" s="166"/>
      <c r="DO30" s="166"/>
      <c r="DP30" s="167"/>
    </row>
    <row r="31" spans="1:120" s="164" customFormat="1" ht="15" customHeight="1" x14ac:dyDescent="0.2">
      <c r="A31" s="139" t="s">
        <v>595</v>
      </c>
      <c r="B31" s="166">
        <v>0</v>
      </c>
      <c r="C31" s="166">
        <v>0</v>
      </c>
      <c r="D31" s="166">
        <v>0</v>
      </c>
      <c r="E31" s="166">
        <v>0</v>
      </c>
      <c r="F31" s="166">
        <v>0</v>
      </c>
      <c r="G31" s="166">
        <v>0</v>
      </c>
      <c r="H31" s="166">
        <v>0</v>
      </c>
      <c r="I31" s="166">
        <v>0</v>
      </c>
      <c r="J31" s="166">
        <v>0</v>
      </c>
      <c r="K31" s="166">
        <v>0</v>
      </c>
      <c r="L31" s="166">
        <v>0</v>
      </c>
      <c r="M31" s="166">
        <v>0</v>
      </c>
      <c r="N31" s="166">
        <v>0</v>
      </c>
      <c r="O31" s="166">
        <v>0</v>
      </c>
      <c r="P31" s="166">
        <v>0</v>
      </c>
      <c r="Q31" s="166">
        <v>0</v>
      </c>
      <c r="R31" s="166">
        <v>0</v>
      </c>
      <c r="S31" s="166">
        <v>0</v>
      </c>
      <c r="T31" s="166">
        <v>0</v>
      </c>
      <c r="U31" s="166">
        <v>0</v>
      </c>
      <c r="V31" s="166">
        <v>0</v>
      </c>
      <c r="W31" s="166">
        <v>0</v>
      </c>
      <c r="X31" s="166">
        <v>0</v>
      </c>
      <c r="Y31" s="166">
        <v>0</v>
      </c>
      <c r="Z31" s="166">
        <v>0</v>
      </c>
      <c r="AA31" s="166">
        <v>0</v>
      </c>
      <c r="AB31" s="166">
        <v>0</v>
      </c>
      <c r="AC31" s="166">
        <v>33104</v>
      </c>
      <c r="AD31" s="166">
        <v>33342</v>
      </c>
      <c r="AE31" s="166">
        <v>33356</v>
      </c>
      <c r="AF31" s="166">
        <v>34553</v>
      </c>
      <c r="AG31" s="166">
        <v>33185</v>
      </c>
      <c r="AH31" s="166">
        <v>33913</v>
      </c>
      <c r="AI31" s="166">
        <v>33418</v>
      </c>
      <c r="AJ31" s="166">
        <v>33111</v>
      </c>
      <c r="AK31" s="166">
        <v>34319</v>
      </c>
      <c r="AL31" s="166">
        <v>37617</v>
      </c>
      <c r="AM31" s="166">
        <v>36792</v>
      </c>
      <c r="AN31" s="165">
        <v>43506</v>
      </c>
      <c r="AO31" s="165">
        <v>41605</v>
      </c>
      <c r="AP31" s="165">
        <v>42385</v>
      </c>
      <c r="AQ31" s="165">
        <v>41132</v>
      </c>
      <c r="AR31" s="165">
        <v>42875</v>
      </c>
      <c r="AS31" s="220">
        <v>39980</v>
      </c>
      <c r="AT31" s="166"/>
      <c r="AU31" s="166"/>
      <c r="AV31" s="166"/>
      <c r="AW31" s="166"/>
      <c r="AX31" s="166"/>
      <c r="AY31" s="166"/>
      <c r="AZ31" s="166"/>
      <c r="BA31" s="166"/>
      <c r="BB31" s="166"/>
      <c r="BC31" s="166"/>
      <c r="BD31" s="166"/>
      <c r="BE31" s="166"/>
      <c r="BF31" s="166"/>
      <c r="BG31" s="166"/>
      <c r="BH31" s="166"/>
      <c r="BI31" s="166"/>
      <c r="BJ31" s="166"/>
      <c r="BK31" s="166"/>
      <c r="BL31" s="166"/>
      <c r="BM31" s="166"/>
      <c r="BN31" s="166"/>
      <c r="BO31" s="166"/>
      <c r="BP31" s="166"/>
      <c r="BQ31" s="166"/>
      <c r="BR31" s="166"/>
      <c r="BS31" s="166"/>
      <c r="BT31" s="166"/>
      <c r="BU31" s="166"/>
      <c r="BV31" s="166"/>
      <c r="BW31" s="166"/>
      <c r="BX31" s="166"/>
      <c r="BY31" s="166"/>
      <c r="BZ31" s="166"/>
      <c r="CA31" s="166"/>
      <c r="CB31" s="166"/>
      <c r="CC31" s="166"/>
      <c r="CD31" s="166"/>
      <c r="CE31" s="166"/>
      <c r="CF31" s="166"/>
      <c r="CG31" s="166"/>
      <c r="CH31" s="166"/>
      <c r="CI31" s="166"/>
      <c r="CJ31" s="166"/>
      <c r="CK31" s="166"/>
      <c r="CL31" s="166"/>
      <c r="CM31" s="166"/>
      <c r="CN31" s="166"/>
      <c r="CO31" s="166"/>
      <c r="CP31" s="166"/>
      <c r="CQ31" s="166"/>
      <c r="CR31" s="166"/>
      <c r="CS31" s="166"/>
      <c r="CT31" s="166"/>
      <c r="CU31" s="166"/>
      <c r="CV31" s="166"/>
      <c r="CW31" s="166"/>
      <c r="CX31" s="166"/>
      <c r="CY31" s="166"/>
      <c r="CZ31" s="166"/>
      <c r="DA31" s="166"/>
      <c r="DB31" s="166"/>
      <c r="DC31" s="166"/>
      <c r="DD31" s="166"/>
      <c r="DE31" s="166"/>
      <c r="DF31" s="166"/>
      <c r="DG31" s="166"/>
      <c r="DH31" s="166"/>
      <c r="DI31" s="166"/>
      <c r="DJ31" s="166"/>
      <c r="DK31" s="166"/>
      <c r="DL31" s="166"/>
      <c r="DM31" s="166"/>
      <c r="DN31" s="166"/>
      <c r="DO31" s="166"/>
      <c r="DP31" s="167"/>
    </row>
    <row r="32" spans="1:120" s="164" customFormat="1" ht="15" customHeight="1" x14ac:dyDescent="0.2">
      <c r="A32" s="434" t="s">
        <v>134</v>
      </c>
      <c r="B32" s="165">
        <v>10569</v>
      </c>
      <c r="C32" s="165">
        <v>10372</v>
      </c>
      <c r="D32" s="165">
        <v>10567</v>
      </c>
      <c r="E32" s="165">
        <v>12827</v>
      </c>
      <c r="F32" s="165">
        <v>11971</v>
      </c>
      <c r="G32" s="165">
        <v>12054</v>
      </c>
      <c r="H32" s="166">
        <v>12260</v>
      </c>
      <c r="I32" s="166">
        <v>13612</v>
      </c>
      <c r="J32" s="166">
        <v>12911</v>
      </c>
      <c r="K32" s="166">
        <v>13198</v>
      </c>
      <c r="L32" s="166">
        <v>13746</v>
      </c>
      <c r="M32" s="166">
        <v>15111</v>
      </c>
      <c r="N32" s="166">
        <v>14978</v>
      </c>
      <c r="O32" s="166">
        <v>14743</v>
      </c>
      <c r="P32" s="166">
        <v>15389</v>
      </c>
      <c r="Q32" s="166">
        <v>16894</v>
      </c>
      <c r="R32" s="166">
        <v>17062</v>
      </c>
      <c r="S32" s="166">
        <v>17975</v>
      </c>
      <c r="T32" s="166">
        <v>18887</v>
      </c>
      <c r="U32" s="166">
        <v>19783</v>
      </c>
      <c r="V32" s="166">
        <v>18573</v>
      </c>
      <c r="W32" s="166">
        <v>19863</v>
      </c>
      <c r="X32" s="166">
        <v>20103</v>
      </c>
      <c r="Y32" s="166">
        <v>20946</v>
      </c>
      <c r="Z32" s="166">
        <v>20779</v>
      </c>
      <c r="AA32" s="166">
        <v>21055</v>
      </c>
      <c r="AB32" s="166">
        <v>21149</v>
      </c>
      <c r="AC32" s="166">
        <v>24766</v>
      </c>
      <c r="AD32" s="166">
        <v>23547</v>
      </c>
      <c r="AE32" s="166">
        <v>22913</v>
      </c>
      <c r="AF32" s="166">
        <v>23133</v>
      </c>
      <c r="AG32" s="166">
        <v>24035</v>
      </c>
      <c r="AH32" s="166">
        <v>24689</v>
      </c>
      <c r="AI32" s="166">
        <v>24563</v>
      </c>
      <c r="AJ32" s="166">
        <v>25114</v>
      </c>
      <c r="AK32" s="166">
        <v>26239</v>
      </c>
      <c r="AL32" s="166">
        <v>24631</v>
      </c>
      <c r="AM32" s="166">
        <v>23428</v>
      </c>
      <c r="AN32" s="166">
        <v>29418</v>
      </c>
      <c r="AO32" s="166">
        <v>30059</v>
      </c>
      <c r="AP32" s="166">
        <v>28607</v>
      </c>
      <c r="AQ32" s="166">
        <v>28580</v>
      </c>
      <c r="AR32" s="166">
        <v>28278</v>
      </c>
      <c r="AS32" s="220">
        <f>32155+1</f>
        <v>32156</v>
      </c>
      <c r="AT32" s="166"/>
      <c r="AU32" s="166"/>
      <c r="AV32" s="166"/>
      <c r="AW32" s="166"/>
      <c r="AX32" s="166"/>
      <c r="AY32" s="166"/>
      <c r="AZ32" s="166"/>
      <c r="BA32" s="166"/>
      <c r="BB32" s="166"/>
      <c r="BC32" s="166"/>
      <c r="BD32" s="166"/>
      <c r="BE32" s="166"/>
      <c r="BF32" s="166"/>
      <c r="BG32" s="166"/>
      <c r="BH32" s="166"/>
      <c r="BI32" s="166"/>
      <c r="BJ32" s="166"/>
      <c r="BK32" s="166"/>
      <c r="BL32" s="166"/>
      <c r="BM32" s="166"/>
      <c r="BN32" s="166"/>
      <c r="BO32" s="166"/>
      <c r="BP32" s="166"/>
      <c r="BQ32" s="166"/>
      <c r="BR32" s="166"/>
      <c r="BS32" s="166"/>
      <c r="BT32" s="166"/>
      <c r="BU32" s="166"/>
      <c r="BV32" s="166"/>
      <c r="BW32" s="166"/>
      <c r="BX32" s="166"/>
      <c r="BY32" s="166"/>
      <c r="BZ32" s="166"/>
      <c r="CA32" s="166"/>
      <c r="CB32" s="166"/>
      <c r="CC32" s="166"/>
      <c r="CD32" s="166"/>
      <c r="CE32" s="166"/>
      <c r="CF32" s="166"/>
      <c r="CG32" s="166"/>
      <c r="CH32" s="166"/>
      <c r="CI32" s="166"/>
      <c r="CJ32" s="166"/>
      <c r="CK32" s="166"/>
      <c r="CL32" s="166"/>
      <c r="CM32" s="166"/>
      <c r="CN32" s="166"/>
      <c r="CO32" s="166"/>
      <c r="CP32" s="166"/>
      <c r="CQ32" s="166"/>
      <c r="CR32" s="166"/>
      <c r="CS32" s="166"/>
      <c r="CT32" s="166"/>
      <c r="CU32" s="166"/>
      <c r="CV32" s="166"/>
      <c r="CW32" s="166"/>
      <c r="CX32" s="166"/>
      <c r="CY32" s="166"/>
      <c r="CZ32" s="166"/>
      <c r="DA32" s="166"/>
      <c r="DB32" s="166"/>
      <c r="DC32" s="166"/>
      <c r="DD32" s="166"/>
      <c r="DE32" s="166"/>
      <c r="DF32" s="166"/>
      <c r="DG32" s="166"/>
      <c r="DH32" s="166"/>
      <c r="DI32" s="166"/>
      <c r="DJ32" s="166"/>
      <c r="DK32" s="166"/>
      <c r="DL32" s="166"/>
      <c r="DM32" s="166"/>
      <c r="DN32" s="166"/>
      <c r="DO32" s="166"/>
      <c r="DP32" s="167"/>
    </row>
    <row r="33" spans="1:120" s="164" customFormat="1" ht="5.0999999999999996" customHeight="1" x14ac:dyDescent="0.2">
      <c r="A33" s="139"/>
      <c r="B33" s="165"/>
      <c r="C33" s="165"/>
      <c r="D33" s="165"/>
      <c r="E33" s="165"/>
      <c r="F33" s="165"/>
      <c r="G33" s="165"/>
      <c r="H33" s="166"/>
      <c r="I33" s="166"/>
      <c r="J33" s="166"/>
      <c r="K33" s="166"/>
      <c r="L33" s="166"/>
      <c r="M33" s="166"/>
      <c r="N33" s="166"/>
      <c r="O33" s="166"/>
      <c r="P33" s="166"/>
      <c r="Q33" s="166"/>
      <c r="R33" s="166"/>
      <c r="S33" s="166"/>
      <c r="T33" s="166"/>
      <c r="U33" s="166"/>
      <c r="V33" s="166"/>
      <c r="W33" s="166"/>
      <c r="X33" s="166"/>
      <c r="Y33" s="166"/>
      <c r="Z33" s="166"/>
      <c r="AA33" s="166"/>
      <c r="AB33" s="166"/>
      <c r="AC33" s="166"/>
      <c r="AD33" s="166"/>
      <c r="AE33" s="166"/>
      <c r="AF33" s="166"/>
      <c r="AG33" s="166"/>
      <c r="AH33" s="166"/>
      <c r="AI33" s="166"/>
      <c r="AJ33" s="166"/>
      <c r="AK33" s="166"/>
      <c r="AL33" s="166"/>
      <c r="AM33" s="166"/>
      <c r="AN33" s="166"/>
      <c r="AO33" s="166"/>
      <c r="AP33" s="166"/>
      <c r="AQ33" s="166"/>
      <c r="AR33" s="166"/>
      <c r="AS33" s="166"/>
      <c r="AT33" s="166"/>
      <c r="AU33" s="166"/>
      <c r="AV33" s="166"/>
      <c r="AW33" s="166"/>
      <c r="AX33" s="166"/>
      <c r="AY33" s="166"/>
      <c r="AZ33" s="166"/>
      <c r="BA33" s="166"/>
      <c r="BB33" s="166"/>
      <c r="BC33" s="166"/>
      <c r="BD33" s="166"/>
      <c r="BE33" s="166"/>
      <c r="BF33" s="166"/>
      <c r="BG33" s="166"/>
      <c r="BH33" s="166"/>
      <c r="BI33" s="166"/>
      <c r="BJ33" s="166"/>
      <c r="BK33" s="166"/>
      <c r="BL33" s="166"/>
      <c r="BM33" s="166"/>
      <c r="BN33" s="166"/>
      <c r="BO33" s="166"/>
      <c r="BP33" s="166"/>
      <c r="BQ33" s="166"/>
      <c r="BR33" s="166"/>
      <c r="BS33" s="166"/>
      <c r="BT33" s="166"/>
      <c r="BU33" s="166"/>
      <c r="BV33" s="166"/>
      <c r="BW33" s="166"/>
      <c r="BX33" s="166"/>
      <c r="BY33" s="166"/>
      <c r="BZ33" s="166"/>
      <c r="CA33" s="166"/>
      <c r="CB33" s="166"/>
      <c r="CC33" s="166"/>
      <c r="CD33" s="166"/>
      <c r="CE33" s="166"/>
      <c r="CF33" s="166"/>
      <c r="CG33" s="166"/>
      <c r="CH33" s="166"/>
      <c r="CI33" s="166"/>
      <c r="CJ33" s="166"/>
      <c r="CK33" s="166"/>
      <c r="CL33" s="166"/>
      <c r="CM33" s="166"/>
      <c r="CN33" s="166"/>
      <c r="CO33" s="166"/>
      <c r="CP33" s="166"/>
      <c r="CQ33" s="166"/>
      <c r="CR33" s="166"/>
      <c r="CS33" s="166"/>
      <c r="CT33" s="166"/>
      <c r="CU33" s="166"/>
      <c r="CV33" s="166"/>
      <c r="CW33" s="166"/>
      <c r="CX33" s="166"/>
      <c r="CY33" s="166"/>
      <c r="CZ33" s="166"/>
      <c r="DA33" s="166"/>
      <c r="DB33" s="166"/>
      <c r="DC33" s="166"/>
      <c r="DD33" s="166"/>
      <c r="DE33" s="166"/>
      <c r="DF33" s="166"/>
      <c r="DG33" s="166"/>
      <c r="DH33" s="166"/>
      <c r="DI33" s="166"/>
      <c r="DJ33" s="166"/>
      <c r="DK33" s="166"/>
      <c r="DL33" s="166"/>
      <c r="DM33" s="166"/>
      <c r="DN33" s="166"/>
      <c r="DO33" s="166"/>
      <c r="DP33" s="167"/>
    </row>
    <row r="34" spans="1:120" s="178" customFormat="1" ht="15" customHeight="1" thickBot="1" x14ac:dyDescent="0.25">
      <c r="A34" s="175" t="s">
        <v>13</v>
      </c>
      <c r="B34" s="176">
        <f t="shared" ref="B34:AO34" si="6">B10+B21</f>
        <v>106236</v>
      </c>
      <c r="C34" s="176">
        <f t="shared" si="6"/>
        <v>113424</v>
      </c>
      <c r="D34" s="176">
        <f t="shared" si="6"/>
        <v>121594</v>
      </c>
      <c r="E34" s="176">
        <f t="shared" si="6"/>
        <v>137112</v>
      </c>
      <c r="F34" s="176">
        <f t="shared" si="6"/>
        <v>144329</v>
      </c>
      <c r="G34" s="176">
        <f t="shared" si="6"/>
        <v>154018</v>
      </c>
      <c r="H34" s="176">
        <f t="shared" si="6"/>
        <v>166406</v>
      </c>
      <c r="I34" s="176">
        <f t="shared" si="6"/>
        <v>179955</v>
      </c>
      <c r="J34" s="176">
        <f t="shared" si="6"/>
        <v>180048</v>
      </c>
      <c r="K34" s="176">
        <f t="shared" si="6"/>
        <v>179377</v>
      </c>
      <c r="L34" s="176">
        <f t="shared" si="6"/>
        <v>180969</v>
      </c>
      <c r="M34" s="176">
        <f t="shared" si="6"/>
        <v>190989</v>
      </c>
      <c r="N34" s="176">
        <f t="shared" si="6"/>
        <v>198107</v>
      </c>
      <c r="O34" s="176">
        <f t="shared" si="6"/>
        <v>208588</v>
      </c>
      <c r="P34" s="176">
        <f t="shared" si="6"/>
        <v>217274</v>
      </c>
      <c r="Q34" s="176">
        <f t="shared" si="6"/>
        <v>230614</v>
      </c>
      <c r="R34" s="176">
        <f t="shared" si="6"/>
        <v>239912</v>
      </c>
      <c r="S34" s="176">
        <f t="shared" si="6"/>
        <v>250834</v>
      </c>
      <c r="T34" s="176">
        <f t="shared" si="6"/>
        <v>260471</v>
      </c>
      <c r="U34" s="176">
        <f t="shared" si="6"/>
        <v>268668</v>
      </c>
      <c r="V34" s="176">
        <f t="shared" si="6"/>
        <v>269749</v>
      </c>
      <c r="W34" s="176">
        <f t="shared" si="6"/>
        <v>279166</v>
      </c>
      <c r="X34" s="176">
        <f t="shared" si="6"/>
        <v>284367</v>
      </c>
      <c r="Y34" s="176">
        <f t="shared" si="6"/>
        <v>290960</v>
      </c>
      <c r="Z34" s="176">
        <f t="shared" si="6"/>
        <v>297883</v>
      </c>
      <c r="AA34" s="176">
        <f t="shared" si="6"/>
        <v>305574</v>
      </c>
      <c r="AB34" s="176">
        <f t="shared" si="6"/>
        <v>311655</v>
      </c>
      <c r="AC34" s="176">
        <f t="shared" si="6"/>
        <v>427273</v>
      </c>
      <c r="AD34" s="176">
        <f t="shared" si="6"/>
        <v>432297</v>
      </c>
      <c r="AE34" s="176">
        <f t="shared" si="6"/>
        <v>435231</v>
      </c>
      <c r="AF34" s="176">
        <f t="shared" si="6"/>
        <v>444195</v>
      </c>
      <c r="AG34" s="176">
        <f t="shared" si="6"/>
        <v>455127</v>
      </c>
      <c r="AH34" s="176">
        <f t="shared" si="6"/>
        <v>463305</v>
      </c>
      <c r="AI34" s="176">
        <f t="shared" si="6"/>
        <v>463406.19999999995</v>
      </c>
      <c r="AJ34" s="176">
        <f t="shared" si="6"/>
        <v>474487</v>
      </c>
      <c r="AK34" s="176">
        <f t="shared" si="6"/>
        <v>474027</v>
      </c>
      <c r="AL34" s="176">
        <f t="shared" si="6"/>
        <v>463208</v>
      </c>
      <c r="AM34" s="176">
        <f t="shared" si="6"/>
        <v>447492</v>
      </c>
      <c r="AN34" s="176">
        <f t="shared" si="6"/>
        <v>521770.56</v>
      </c>
      <c r="AO34" s="176">
        <f t="shared" si="6"/>
        <v>514990</v>
      </c>
      <c r="AP34" s="176">
        <f t="shared" ref="AP34:AQ34" si="7">AP10+AP21</f>
        <v>502714</v>
      </c>
      <c r="AQ34" s="176">
        <f t="shared" si="7"/>
        <v>493566</v>
      </c>
      <c r="AR34" s="176">
        <f t="shared" ref="AR34:AS34" si="8">AR10+AR21</f>
        <v>486864</v>
      </c>
      <c r="AS34" s="176">
        <f t="shared" si="8"/>
        <v>492931</v>
      </c>
      <c r="AT34" s="193"/>
      <c r="AU34" s="193"/>
      <c r="AV34" s="193"/>
      <c r="AW34" s="193"/>
      <c r="AX34" s="193"/>
      <c r="AY34" s="193"/>
      <c r="AZ34" s="193"/>
      <c r="BA34" s="193"/>
      <c r="BB34" s="193"/>
      <c r="BC34" s="193"/>
      <c r="BD34" s="193"/>
      <c r="BE34" s="193"/>
      <c r="BF34" s="193"/>
      <c r="BG34" s="193"/>
      <c r="BH34" s="193"/>
      <c r="BI34" s="193"/>
      <c r="BJ34" s="193"/>
      <c r="BK34" s="193"/>
      <c r="BL34" s="193"/>
      <c r="BM34" s="193"/>
      <c r="BN34" s="193"/>
      <c r="BO34" s="193"/>
      <c r="BP34" s="193"/>
      <c r="BQ34" s="193"/>
      <c r="BR34" s="193"/>
      <c r="BS34" s="193"/>
      <c r="BT34" s="193"/>
      <c r="BU34" s="193"/>
      <c r="BV34" s="193"/>
      <c r="BW34" s="193"/>
      <c r="BX34" s="193"/>
      <c r="BY34" s="193"/>
      <c r="BZ34" s="193"/>
      <c r="CA34" s="193"/>
      <c r="CB34" s="193"/>
      <c r="CC34" s="193"/>
      <c r="CD34" s="193"/>
      <c r="CE34" s="193"/>
      <c r="CF34" s="193"/>
      <c r="CG34" s="193"/>
      <c r="CH34" s="193"/>
      <c r="CI34" s="193"/>
      <c r="CJ34" s="193"/>
      <c r="CK34" s="193"/>
      <c r="CL34" s="193"/>
      <c r="CM34" s="193"/>
      <c r="CN34" s="193"/>
      <c r="CO34" s="193"/>
      <c r="CP34" s="193"/>
      <c r="CQ34" s="193"/>
      <c r="CR34" s="193"/>
      <c r="CS34" s="193"/>
      <c r="CT34" s="193"/>
      <c r="CU34" s="193"/>
      <c r="CV34" s="193"/>
      <c r="CW34" s="193"/>
      <c r="CX34" s="193"/>
      <c r="CY34" s="193"/>
      <c r="CZ34" s="193"/>
      <c r="DA34" s="193"/>
      <c r="DB34" s="193"/>
      <c r="DC34" s="193"/>
      <c r="DD34" s="193"/>
      <c r="DE34" s="193"/>
      <c r="DF34" s="193"/>
      <c r="DG34" s="193"/>
      <c r="DH34" s="193"/>
      <c r="DI34" s="193"/>
      <c r="DJ34" s="193"/>
      <c r="DK34" s="193"/>
      <c r="DL34" s="193"/>
      <c r="DM34" s="193"/>
      <c r="DN34" s="193"/>
      <c r="DO34" s="193"/>
      <c r="DP34" s="193"/>
    </row>
    <row r="35" spans="1:120" ht="12.95" customHeight="1" thickTop="1" x14ac:dyDescent="0.2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0"/>
      <c r="AE35" s="20"/>
      <c r="AF35" s="22"/>
      <c r="AG35" s="22"/>
      <c r="AH35" s="22"/>
      <c r="AI35" s="22"/>
      <c r="AJ35" s="22"/>
      <c r="AK35" s="22"/>
    </row>
    <row r="36" spans="1:120" s="36" customFormat="1" ht="24" x14ac:dyDescent="0.2">
      <c r="A36" s="502" t="s">
        <v>471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0"/>
      <c r="AE36" s="20"/>
      <c r="AF36" s="22"/>
      <c r="AG36" s="22"/>
      <c r="AH36" s="22"/>
      <c r="AI36" s="22"/>
      <c r="AJ36" s="22"/>
      <c r="AK36" s="22"/>
    </row>
    <row r="37" spans="1:120" s="36" customFormat="1" ht="12.95" customHeight="1" x14ac:dyDescent="0.2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61"/>
      <c r="AE37" s="61"/>
      <c r="AF37" s="64"/>
      <c r="AG37" s="64"/>
      <c r="AH37" s="64"/>
      <c r="AI37" s="64"/>
      <c r="AJ37" s="64"/>
      <c r="AK37" s="64"/>
    </row>
    <row r="38" spans="1:120" s="36" customFormat="1" ht="11.25" x14ac:dyDescent="0.2">
      <c r="A38" s="26"/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61"/>
      <c r="AE38" s="61"/>
      <c r="AF38" s="61"/>
      <c r="AG38" s="61"/>
      <c r="AH38" s="61"/>
      <c r="AI38" s="61"/>
      <c r="AJ38" s="61"/>
      <c r="AK38" s="61"/>
    </row>
    <row r="39" spans="1:120" s="36" customFormat="1" ht="11.25" x14ac:dyDescent="0.2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</row>
    <row r="40" spans="1:120" s="36" customFormat="1" ht="11.25" x14ac:dyDescent="0.2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</row>
    <row r="41" spans="1:120" s="36" customFormat="1" ht="11.25" x14ac:dyDescent="0.2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</row>
    <row r="42" spans="1:120" s="36" customFormat="1" ht="11.25" x14ac:dyDescent="0.2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</row>
    <row r="43" spans="1:120" s="36" customFormat="1" ht="11.25" x14ac:dyDescent="0.2">
      <c r="A43" s="26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</row>
    <row r="44" spans="1:120" s="36" customFormat="1" ht="11.25" x14ac:dyDescent="0.2">
      <c r="A44" s="26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</row>
    <row r="45" spans="1:120" s="36" customFormat="1" ht="11.25" x14ac:dyDescent="0.2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</row>
    <row r="46" spans="1:120" s="36" customFormat="1" ht="11.25" x14ac:dyDescent="0.2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</row>
    <row r="47" spans="1:120" s="36" customFormat="1" ht="11.25" x14ac:dyDescent="0.2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</row>
    <row r="48" spans="1:120" s="36" customFormat="1" ht="11.25" x14ac:dyDescent="0.2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</row>
    <row r="49" spans="1:37" s="36" customFormat="1" ht="11.25" x14ac:dyDescent="0.2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</row>
    <row r="50" spans="1:37" s="36" customFormat="1" ht="11.25" x14ac:dyDescent="0.2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</row>
    <row r="51" spans="1:37" s="36" customFormat="1" ht="11.25" x14ac:dyDescent="0.2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</row>
    <row r="52" spans="1:37" s="36" customFormat="1" ht="11.25" x14ac:dyDescent="0.2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</row>
    <row r="53" spans="1:37" s="36" customFormat="1" ht="11.25" x14ac:dyDescent="0.2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</row>
    <row r="54" spans="1:37" s="36" customFormat="1" ht="11.25" x14ac:dyDescent="0.2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</row>
    <row r="55" spans="1:37" s="36" customFormat="1" ht="11.25" x14ac:dyDescent="0.2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</row>
    <row r="56" spans="1:37" s="36" customFormat="1" ht="11.25" x14ac:dyDescent="0.2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</row>
    <row r="57" spans="1:37" s="36" customFormat="1" ht="11.25" x14ac:dyDescent="0.2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</row>
    <row r="58" spans="1:37" s="36" customFormat="1" ht="11.25" x14ac:dyDescent="0.2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</row>
    <row r="59" spans="1:37" s="36" customFormat="1" ht="11.25" x14ac:dyDescent="0.2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</row>
    <row r="60" spans="1:37" s="36" customFormat="1" ht="11.25" x14ac:dyDescent="0.2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</row>
    <row r="61" spans="1:37" s="36" customFormat="1" ht="11.25" x14ac:dyDescent="0.2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</row>
    <row r="62" spans="1:37" s="36" customFormat="1" ht="11.25" x14ac:dyDescent="0.2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</row>
    <row r="63" spans="1:37" s="36" customFormat="1" ht="11.25" x14ac:dyDescent="0.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</row>
    <row r="64" spans="1:37" s="36" customFormat="1" ht="11.25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</row>
    <row r="65" spans="1:37" s="36" customFormat="1" ht="11.25" x14ac:dyDescent="0.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</row>
    <row r="66" spans="1:37" s="36" customFormat="1" ht="11.25" x14ac:dyDescent="0.2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</row>
    <row r="67" spans="1:37" s="36" customFormat="1" ht="11.25" x14ac:dyDescent="0.2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</row>
    <row r="68" spans="1:37" s="36" customFormat="1" ht="11.25" x14ac:dyDescent="0.2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</row>
    <row r="69" spans="1:37" s="36" customFormat="1" ht="11.25" x14ac:dyDescent="0.2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</row>
    <row r="70" spans="1:37" s="36" customFormat="1" ht="11.25" x14ac:dyDescent="0.2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</row>
    <row r="71" spans="1:37" s="36" customFormat="1" ht="11.25" x14ac:dyDescent="0.2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</row>
    <row r="72" spans="1:37" s="36" customFormat="1" ht="11.25" x14ac:dyDescent="0.2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</row>
    <row r="73" spans="1:37" s="36" customFormat="1" ht="11.25" x14ac:dyDescent="0.2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</row>
    <row r="74" spans="1:37" s="36" customFormat="1" ht="11.25" x14ac:dyDescent="0.2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</row>
    <row r="75" spans="1:37" s="36" customFormat="1" ht="11.25" x14ac:dyDescent="0.2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</row>
    <row r="76" spans="1:37" s="36" customFormat="1" ht="11.25" x14ac:dyDescent="0.2">
      <c r="A76" s="26"/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</row>
    <row r="77" spans="1:37" s="36" customFormat="1" ht="11.25" x14ac:dyDescent="0.2">
      <c r="A77" s="26"/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</row>
    <row r="78" spans="1:37" s="36" customFormat="1" ht="11.25" x14ac:dyDescent="0.2">
      <c r="A78" s="26"/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</row>
    <row r="79" spans="1:37" s="36" customFormat="1" ht="11.25" x14ac:dyDescent="0.2">
      <c r="A79" s="26"/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</row>
    <row r="80" spans="1:37" s="36" customFormat="1" ht="11.25" x14ac:dyDescent="0.2">
      <c r="A80" s="26"/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26"/>
      <c r="AI80" s="26"/>
      <c r="AJ80" s="26"/>
      <c r="AK80" s="26"/>
    </row>
    <row r="81" spans="1:37" s="36" customFormat="1" ht="11.25" x14ac:dyDescent="0.2">
      <c r="A81" s="26"/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</row>
    <row r="82" spans="1:37" s="36" customFormat="1" ht="11.25" x14ac:dyDescent="0.2">
      <c r="A82" s="26"/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26"/>
      <c r="AK82" s="26"/>
    </row>
    <row r="83" spans="1:37" s="36" customFormat="1" ht="11.25" x14ac:dyDescent="0.2">
      <c r="A83" s="26"/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</row>
    <row r="84" spans="1:37" s="36" customFormat="1" ht="11.25" x14ac:dyDescent="0.2">
      <c r="A84" s="26"/>
      <c r="B84" s="26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  <c r="AF84" s="26"/>
      <c r="AG84" s="26"/>
      <c r="AH84" s="26"/>
      <c r="AI84" s="26"/>
      <c r="AJ84" s="26"/>
      <c r="AK84" s="26"/>
    </row>
    <row r="85" spans="1:37" s="36" customFormat="1" ht="11.25" x14ac:dyDescent="0.2">
      <c r="A85" s="26"/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</row>
    <row r="86" spans="1:37" s="36" customFormat="1" ht="11.25" x14ac:dyDescent="0.2">
      <c r="A86" s="26"/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</row>
    <row r="87" spans="1:37" s="36" customFormat="1" ht="11.25" x14ac:dyDescent="0.2">
      <c r="A87" s="26"/>
      <c r="B87" s="26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  <c r="AF87" s="26"/>
      <c r="AG87" s="26"/>
      <c r="AH87" s="26"/>
      <c r="AI87" s="26"/>
      <c r="AJ87" s="26"/>
      <c r="AK87" s="26"/>
    </row>
    <row r="88" spans="1:37" s="36" customFormat="1" ht="11.25" x14ac:dyDescent="0.2">
      <c r="A88" s="26"/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  <c r="AF88" s="26"/>
      <c r="AG88" s="26"/>
      <c r="AH88" s="26"/>
      <c r="AI88" s="26"/>
      <c r="AJ88" s="26"/>
      <c r="AK88" s="26"/>
    </row>
    <row r="89" spans="1:37" s="36" customFormat="1" ht="11.25" x14ac:dyDescent="0.2">
      <c r="A89" s="26"/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  <c r="AF89" s="26"/>
      <c r="AG89" s="26"/>
      <c r="AH89" s="26"/>
      <c r="AI89" s="26"/>
      <c r="AJ89" s="26"/>
      <c r="AK89" s="26"/>
    </row>
    <row r="90" spans="1:37" s="36" customFormat="1" ht="11.25" x14ac:dyDescent="0.2">
      <c r="A90" s="26"/>
      <c r="B90" s="26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6"/>
      <c r="AH90" s="26"/>
      <c r="AI90" s="26"/>
      <c r="AJ90" s="26"/>
      <c r="AK90" s="26"/>
    </row>
    <row r="91" spans="1:37" s="36" customFormat="1" ht="11.25" x14ac:dyDescent="0.2">
      <c r="A91" s="26"/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  <c r="AF91" s="26"/>
      <c r="AG91" s="26"/>
      <c r="AH91" s="26"/>
      <c r="AI91" s="26"/>
      <c r="AJ91" s="26"/>
      <c r="AK91" s="26"/>
    </row>
    <row r="92" spans="1:37" s="36" customFormat="1" ht="11.25" x14ac:dyDescent="0.2">
      <c r="A92" s="26"/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26"/>
      <c r="AE92" s="26"/>
      <c r="AF92" s="26"/>
      <c r="AG92" s="26"/>
      <c r="AH92" s="26"/>
      <c r="AI92" s="26"/>
      <c r="AJ92" s="26"/>
      <c r="AK92" s="26"/>
    </row>
    <row r="93" spans="1:37" s="36" customFormat="1" ht="11.25" x14ac:dyDescent="0.2">
      <c r="A93" s="26"/>
      <c r="B93" s="26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  <c r="AF93" s="26"/>
      <c r="AG93" s="26"/>
      <c r="AH93" s="26"/>
      <c r="AI93" s="26"/>
      <c r="AJ93" s="26"/>
      <c r="AK93" s="26"/>
    </row>
    <row r="94" spans="1:37" s="36" customFormat="1" ht="11.25" x14ac:dyDescent="0.2">
      <c r="A94" s="26"/>
      <c r="B94" s="26"/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6"/>
      <c r="AB94" s="26"/>
      <c r="AC94" s="26"/>
      <c r="AD94" s="26"/>
      <c r="AE94" s="26"/>
      <c r="AF94" s="26"/>
      <c r="AG94" s="26"/>
      <c r="AH94" s="26"/>
      <c r="AI94" s="26"/>
      <c r="AJ94" s="26"/>
      <c r="AK94" s="26"/>
    </row>
    <row r="95" spans="1:37" s="36" customFormat="1" ht="11.25" x14ac:dyDescent="0.2">
      <c r="A95" s="26"/>
      <c r="B95" s="26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26"/>
      <c r="AE95" s="26"/>
      <c r="AF95" s="26"/>
      <c r="AG95" s="26"/>
      <c r="AH95" s="26"/>
      <c r="AI95" s="26"/>
      <c r="AJ95" s="26"/>
      <c r="AK95" s="26"/>
    </row>
    <row r="96" spans="1:37" s="36" customFormat="1" ht="11.25" x14ac:dyDescent="0.2">
      <c r="A96" s="26"/>
      <c r="B96" s="26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F96" s="26"/>
      <c r="AG96" s="26"/>
      <c r="AH96" s="26"/>
      <c r="AI96" s="26"/>
      <c r="AJ96" s="26"/>
      <c r="AK96" s="26"/>
    </row>
    <row r="97" spans="1:37" s="36" customFormat="1" ht="11.25" x14ac:dyDescent="0.2">
      <c r="A97" s="26"/>
      <c r="B97" s="26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  <c r="AB97" s="26"/>
      <c r="AC97" s="26"/>
      <c r="AD97" s="26"/>
      <c r="AE97" s="26"/>
      <c r="AF97" s="26"/>
      <c r="AG97" s="26"/>
      <c r="AH97" s="26"/>
      <c r="AI97" s="26"/>
      <c r="AJ97" s="26"/>
      <c r="AK97" s="26"/>
    </row>
    <row r="98" spans="1:37" s="36" customFormat="1" ht="11.25" x14ac:dyDescent="0.2">
      <c r="A98" s="26"/>
      <c r="B98" s="26"/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26"/>
      <c r="AE98" s="26"/>
      <c r="AF98" s="26"/>
      <c r="AG98" s="26"/>
      <c r="AH98" s="26"/>
      <c r="AI98" s="26"/>
      <c r="AJ98" s="26"/>
      <c r="AK98" s="26"/>
    </row>
    <row r="99" spans="1:37" s="36" customFormat="1" ht="11.25" x14ac:dyDescent="0.2">
      <c r="A99" s="26"/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</row>
    <row r="100" spans="1:37" s="36" customFormat="1" ht="11.25" x14ac:dyDescent="0.2">
      <c r="A100" s="26"/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26"/>
      <c r="AE100" s="26"/>
      <c r="AF100" s="26"/>
      <c r="AG100" s="26"/>
      <c r="AH100" s="26"/>
      <c r="AI100" s="26"/>
      <c r="AJ100" s="26"/>
      <c r="AK100" s="26"/>
    </row>
    <row r="101" spans="1:37" s="36" customFormat="1" ht="11.25" x14ac:dyDescent="0.2">
      <c r="A101" s="26"/>
      <c r="B101" s="26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  <c r="AF101" s="26"/>
      <c r="AG101" s="26"/>
      <c r="AH101" s="26"/>
      <c r="AI101" s="26"/>
      <c r="AJ101" s="26"/>
      <c r="AK101" s="26"/>
    </row>
    <row r="102" spans="1:37" s="36" customFormat="1" ht="11.25" x14ac:dyDescent="0.2">
      <c r="A102" s="26"/>
      <c r="B102" s="26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26"/>
      <c r="AE102" s="26"/>
      <c r="AF102" s="26"/>
      <c r="AG102" s="26"/>
      <c r="AH102" s="26"/>
      <c r="AI102" s="26"/>
      <c r="AJ102" s="26"/>
      <c r="AK102" s="26"/>
    </row>
  </sheetData>
  <hyperlinks>
    <hyperlink ref="AS6" location="Índex!E9" display="Índex"/>
  </hyperlinks>
  <printOptions horizontalCentered="1" gridLinesSet="0"/>
  <pageMargins left="0" right="0" top="0.39370078740157483" bottom="0" header="0" footer="0"/>
  <pageSetup paperSize="9" scale="85" orientation="landscape" r:id="rId1"/>
  <headerFooter alignWithMargins="0">
    <oddHeader>&amp;R&amp;P/&amp;N</oddHeader>
  </headerFooter>
  <colBreaks count="6" manualBreakCount="6">
    <brk id="9" max="36" man="1"/>
    <brk id="17" max="36" man="1"/>
    <brk id="25" max="36" man="1"/>
    <brk id="33" max="36" man="1"/>
    <brk id="41" max="36" man="1"/>
    <brk id="49" max="51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0"/>
  <dimension ref="A1:DQ71"/>
  <sheetViews>
    <sheetView showGridLines="0" zoomScaleNormal="100" workbookViewId="0">
      <pane xSplit="1" ySplit="9" topLeftCell="AL10" activePane="bottomRight" state="frozen"/>
      <selection activeCell="E9" sqref="E9"/>
      <selection pane="topRight" activeCell="E9" sqref="E9"/>
      <selection pane="bottomLeft" activeCell="E9" sqref="E9"/>
      <selection pane="bottomRight" activeCell="AS6" sqref="AS6"/>
    </sheetView>
  </sheetViews>
  <sheetFormatPr defaultColWidth="12.5703125" defaultRowHeight="12.75" x14ac:dyDescent="0.2"/>
  <cols>
    <col min="1" max="1" width="40.42578125" style="61" customWidth="1"/>
    <col min="2" max="25" width="10.7109375" style="61" customWidth="1"/>
    <col min="26" max="45" width="10.7109375" style="25" customWidth="1"/>
    <col min="46" max="16384" width="12.5703125" style="25"/>
  </cols>
  <sheetData>
    <row r="1" spans="1:121" ht="15" customHeight="1" x14ac:dyDescent="0.2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2"/>
      <c r="AW1" s="62"/>
      <c r="AX1" s="62"/>
      <c r="AY1" s="62"/>
      <c r="AZ1" s="62"/>
      <c r="BA1" s="62"/>
      <c r="BB1" s="62"/>
      <c r="BC1" s="62"/>
      <c r="BD1" s="62"/>
      <c r="BE1" s="62"/>
      <c r="BF1" s="62"/>
      <c r="BG1" s="62"/>
      <c r="BH1" s="62"/>
      <c r="BI1" s="62"/>
      <c r="BJ1" s="56"/>
      <c r="BK1" s="56"/>
      <c r="BL1" s="56"/>
      <c r="BM1" s="56"/>
      <c r="BN1" s="56"/>
      <c r="BO1" s="56"/>
      <c r="BP1" s="56"/>
      <c r="BQ1" s="56"/>
      <c r="BR1" s="56"/>
      <c r="BS1" s="56"/>
      <c r="BT1" s="56"/>
      <c r="BU1" s="56"/>
    </row>
    <row r="2" spans="1:121" ht="15" customHeight="1" x14ac:dyDescent="0.25">
      <c r="A2" s="56"/>
      <c r="B2" s="199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  <c r="BM2" s="56"/>
      <c r="BN2" s="56"/>
      <c r="BO2" s="56"/>
      <c r="BP2" s="56"/>
      <c r="BQ2" s="56"/>
      <c r="BR2" s="56"/>
      <c r="BS2" s="56"/>
      <c r="BT2" s="56"/>
      <c r="BU2" s="56"/>
    </row>
    <row r="3" spans="1:121" ht="15" customHeight="1" x14ac:dyDescent="0.25">
      <c r="A3" s="57"/>
      <c r="B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7"/>
      <c r="BT3" s="57"/>
      <c r="BU3" s="57"/>
    </row>
    <row r="4" spans="1:121" ht="15" customHeight="1" x14ac:dyDescent="0.2">
      <c r="A4" s="58"/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</row>
    <row r="5" spans="1:121" ht="19.5" thickBot="1" x14ac:dyDescent="0.35">
      <c r="A5" s="190" t="s">
        <v>474</v>
      </c>
      <c r="C5" s="59"/>
      <c r="E5" s="59"/>
      <c r="F5" s="114"/>
      <c r="G5" s="59"/>
      <c r="H5" s="112"/>
      <c r="I5" s="59"/>
      <c r="J5" s="59"/>
      <c r="K5" s="59"/>
      <c r="L5" s="59"/>
      <c r="M5" s="59"/>
      <c r="N5" s="59"/>
      <c r="O5" s="59"/>
      <c r="P5" s="59"/>
      <c r="Q5" s="59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59"/>
      <c r="BR5" s="59"/>
      <c r="BS5" s="59"/>
      <c r="BT5" s="59"/>
      <c r="BU5" s="59"/>
      <c r="BW5" s="114"/>
      <c r="CA5" s="114"/>
      <c r="CC5" s="134"/>
      <c r="CF5" s="65"/>
      <c r="CG5" s="136"/>
      <c r="CH5" s="137"/>
      <c r="CI5" s="137"/>
      <c r="CJ5" s="135"/>
      <c r="CK5" s="137"/>
      <c r="CL5" s="137"/>
      <c r="CM5" s="137"/>
      <c r="CN5" s="138"/>
    </row>
    <row r="6" spans="1:121" ht="15" customHeight="1" thickTop="1" x14ac:dyDescent="0.2">
      <c r="A6" s="62"/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379"/>
      <c r="AP6" s="400"/>
      <c r="AQ6" s="400"/>
      <c r="AR6" s="400"/>
      <c r="AS6" s="400" t="s">
        <v>662</v>
      </c>
      <c r="AT6" s="62"/>
      <c r="AU6" s="62"/>
      <c r="AV6" s="62"/>
      <c r="AW6" s="62"/>
      <c r="AX6" s="62"/>
      <c r="AY6" s="62"/>
      <c r="AZ6" s="62"/>
      <c r="BA6" s="62"/>
      <c r="BB6" s="62"/>
      <c r="BC6" s="62"/>
      <c r="BD6" s="62"/>
      <c r="BE6" s="62"/>
      <c r="BF6" s="62"/>
      <c r="BG6" s="62"/>
      <c r="BH6" s="62"/>
      <c r="BI6" s="62"/>
      <c r="BJ6" s="56"/>
      <c r="BK6" s="56"/>
      <c r="BL6" s="56"/>
      <c r="BM6" s="56"/>
      <c r="BN6" s="56"/>
      <c r="BO6" s="56"/>
      <c r="BP6" s="56"/>
      <c r="BQ6" s="56"/>
      <c r="BR6" s="56"/>
      <c r="BS6" s="56"/>
      <c r="BT6" s="56"/>
      <c r="BU6" s="56"/>
    </row>
    <row r="7" spans="1:121" s="183" customFormat="1" ht="15" customHeight="1" x14ac:dyDescent="0.2">
      <c r="A7" s="182"/>
      <c r="B7" s="156" t="s">
        <v>35</v>
      </c>
      <c r="C7" s="156" t="s">
        <v>36</v>
      </c>
      <c r="D7" s="156" t="s">
        <v>321</v>
      </c>
      <c r="E7" s="156" t="s">
        <v>331</v>
      </c>
      <c r="F7" s="156" t="s">
        <v>37</v>
      </c>
      <c r="G7" s="156" t="s">
        <v>38</v>
      </c>
      <c r="H7" s="156" t="s">
        <v>322</v>
      </c>
      <c r="I7" s="156" t="s">
        <v>332</v>
      </c>
      <c r="J7" s="156" t="s">
        <v>39</v>
      </c>
      <c r="K7" s="156" t="s">
        <v>40</v>
      </c>
      <c r="L7" s="156" t="s">
        <v>323</v>
      </c>
      <c r="M7" s="156" t="s">
        <v>333</v>
      </c>
      <c r="N7" s="156" t="s">
        <v>41</v>
      </c>
      <c r="O7" s="156" t="s">
        <v>42</v>
      </c>
      <c r="P7" s="156" t="s">
        <v>324</v>
      </c>
      <c r="Q7" s="156" t="s">
        <v>334</v>
      </c>
      <c r="R7" s="156" t="s">
        <v>43</v>
      </c>
      <c r="S7" s="156" t="s">
        <v>44</v>
      </c>
      <c r="T7" s="156" t="s">
        <v>325</v>
      </c>
      <c r="U7" s="156" t="s">
        <v>335</v>
      </c>
      <c r="V7" s="156" t="s">
        <v>45</v>
      </c>
      <c r="W7" s="156" t="s">
        <v>46</v>
      </c>
      <c r="X7" s="156" t="s">
        <v>326</v>
      </c>
      <c r="Y7" s="156" t="s">
        <v>336</v>
      </c>
      <c r="Z7" s="156" t="s">
        <v>47</v>
      </c>
      <c r="AA7" s="156" t="s">
        <v>48</v>
      </c>
      <c r="AB7" s="156" t="s">
        <v>327</v>
      </c>
      <c r="AC7" s="156" t="s">
        <v>337</v>
      </c>
      <c r="AD7" s="156" t="s">
        <v>49</v>
      </c>
      <c r="AE7" s="156" t="s">
        <v>50</v>
      </c>
      <c r="AF7" s="156" t="s">
        <v>328</v>
      </c>
      <c r="AG7" s="156" t="s">
        <v>338</v>
      </c>
      <c r="AH7" s="156" t="s">
        <v>51</v>
      </c>
      <c r="AI7" s="156" t="s">
        <v>52</v>
      </c>
      <c r="AJ7" s="156" t="s">
        <v>329</v>
      </c>
      <c r="AK7" s="156" t="s">
        <v>339</v>
      </c>
      <c r="AL7" s="156" t="s">
        <v>53</v>
      </c>
      <c r="AM7" s="156" t="s">
        <v>54</v>
      </c>
      <c r="AN7" s="156" t="s">
        <v>330</v>
      </c>
      <c r="AO7" s="156" t="s">
        <v>340</v>
      </c>
      <c r="AP7" s="416" t="s">
        <v>71</v>
      </c>
      <c r="AQ7" s="591" t="s">
        <v>374</v>
      </c>
      <c r="AR7" s="664" t="s">
        <v>376</v>
      </c>
      <c r="AS7" s="664" t="s">
        <v>399</v>
      </c>
    </row>
    <row r="8" spans="1:121" s="178" customFormat="1" ht="9.9499999999999993" customHeight="1" x14ac:dyDescent="0.2">
      <c r="A8" s="184"/>
      <c r="B8" s="158"/>
      <c r="C8" s="158"/>
      <c r="D8" s="158"/>
      <c r="E8" s="158"/>
      <c r="F8" s="158"/>
      <c r="G8" s="158"/>
      <c r="H8" s="158"/>
      <c r="I8" s="158"/>
      <c r="J8" s="158"/>
      <c r="K8" s="158"/>
      <c r="L8" s="158"/>
      <c r="M8" s="158"/>
      <c r="N8" s="158"/>
      <c r="O8" s="158"/>
      <c r="P8" s="158"/>
      <c r="Q8" s="158"/>
      <c r="R8" s="158"/>
      <c r="S8" s="158"/>
      <c r="T8" s="158"/>
      <c r="U8" s="158"/>
      <c r="V8" s="158"/>
      <c r="W8" s="158"/>
      <c r="X8" s="158"/>
      <c r="Y8" s="158"/>
      <c r="Z8" s="158"/>
      <c r="AA8" s="158"/>
      <c r="AB8" s="158"/>
      <c r="AC8" s="158"/>
      <c r="AD8" s="158"/>
      <c r="AE8" s="158"/>
      <c r="AF8" s="158"/>
      <c r="AG8" s="158"/>
      <c r="AH8" s="158"/>
      <c r="AI8" s="158"/>
      <c r="AJ8" s="158"/>
      <c r="AK8" s="158"/>
      <c r="AL8" s="158"/>
      <c r="AM8" s="158"/>
      <c r="AN8" s="158"/>
      <c r="AO8" s="158"/>
      <c r="AP8" s="158"/>
      <c r="AQ8" s="158"/>
      <c r="AR8" s="158"/>
      <c r="AS8" s="158"/>
      <c r="AT8" s="191"/>
      <c r="AU8" s="191"/>
      <c r="AV8" s="191"/>
      <c r="AW8" s="191"/>
      <c r="AX8" s="191"/>
      <c r="AY8" s="191"/>
      <c r="AZ8" s="191"/>
      <c r="BA8" s="191"/>
      <c r="BB8" s="191"/>
      <c r="BC8" s="191"/>
      <c r="BD8" s="191"/>
      <c r="BE8" s="191"/>
      <c r="BF8" s="191"/>
      <c r="BG8" s="191"/>
      <c r="BH8" s="191"/>
      <c r="BI8" s="191"/>
      <c r="BJ8" s="191"/>
      <c r="BK8" s="191"/>
      <c r="BL8" s="191"/>
      <c r="BM8" s="191"/>
      <c r="BN8" s="191"/>
      <c r="BO8" s="191"/>
      <c r="BP8" s="191"/>
      <c r="BQ8" s="191"/>
      <c r="BR8" s="191"/>
      <c r="BS8" s="191"/>
      <c r="BT8" s="191"/>
      <c r="BU8" s="191"/>
      <c r="BV8" s="191"/>
      <c r="BW8" s="191"/>
      <c r="BX8" s="191"/>
      <c r="BY8" s="191"/>
      <c r="BZ8" s="191"/>
      <c r="CA8" s="191"/>
      <c r="CB8" s="191"/>
      <c r="CC8" s="191"/>
    </row>
    <row r="9" spans="1:121" s="178" customFormat="1" ht="5.0999999999999996" customHeight="1" x14ac:dyDescent="0.2">
      <c r="A9" s="203"/>
      <c r="B9" s="203"/>
      <c r="C9" s="203"/>
      <c r="D9" s="203"/>
      <c r="E9" s="203"/>
      <c r="F9" s="203"/>
      <c r="G9" s="203"/>
      <c r="H9" s="203"/>
      <c r="I9" s="203"/>
      <c r="J9" s="203"/>
      <c r="K9" s="203"/>
      <c r="L9" s="203"/>
      <c r="M9" s="203"/>
      <c r="N9" s="203"/>
      <c r="O9" s="203"/>
      <c r="P9" s="203"/>
      <c r="Q9" s="203"/>
      <c r="R9" s="203"/>
      <c r="S9" s="203"/>
      <c r="T9" s="203"/>
      <c r="U9" s="203"/>
      <c r="V9" s="203"/>
      <c r="W9" s="203"/>
      <c r="X9" s="203"/>
      <c r="Y9" s="203"/>
      <c r="Z9" s="203"/>
      <c r="AA9" s="203"/>
      <c r="AB9" s="203"/>
      <c r="AC9" s="203"/>
      <c r="AD9" s="203"/>
      <c r="AE9" s="203"/>
      <c r="AF9" s="203"/>
      <c r="AG9" s="203"/>
      <c r="AH9" s="203"/>
      <c r="AI9" s="203"/>
      <c r="AJ9" s="203"/>
      <c r="AK9" s="203"/>
      <c r="AL9" s="203"/>
      <c r="AM9" s="203"/>
      <c r="AN9" s="203"/>
      <c r="AO9" s="203"/>
      <c r="AP9" s="203"/>
      <c r="AQ9" s="203"/>
      <c r="AR9" s="203"/>
      <c r="AS9" s="203"/>
    </row>
    <row r="10" spans="1:121" s="192" customFormat="1" ht="15" customHeight="1" x14ac:dyDescent="0.2">
      <c r="A10" s="434" t="s">
        <v>108</v>
      </c>
      <c r="B10" s="165">
        <v>16844</v>
      </c>
      <c r="C10" s="165">
        <v>18192</v>
      </c>
      <c r="D10" s="165">
        <v>19556</v>
      </c>
      <c r="E10" s="165">
        <v>21183</v>
      </c>
      <c r="F10" s="165">
        <v>21265</v>
      </c>
      <c r="G10" s="165">
        <v>21031</v>
      </c>
      <c r="H10" s="214">
        <v>20794</v>
      </c>
      <c r="I10" s="214">
        <v>20496</v>
      </c>
      <c r="J10" s="214">
        <v>19540</v>
      </c>
      <c r="K10" s="214">
        <v>18595</v>
      </c>
      <c r="L10" s="214">
        <v>18445</v>
      </c>
      <c r="M10" s="214">
        <v>18711</v>
      </c>
      <c r="N10" s="196">
        <v>20610</v>
      </c>
      <c r="O10" s="196">
        <v>21366</v>
      </c>
      <c r="P10" s="196">
        <v>22668</v>
      </c>
      <c r="Q10" s="196">
        <v>24867</v>
      </c>
      <c r="R10" s="196">
        <v>25811</v>
      </c>
      <c r="S10" s="196">
        <v>26804</v>
      </c>
      <c r="T10" s="196">
        <v>27554</v>
      </c>
      <c r="U10" s="196">
        <v>28761</v>
      </c>
      <c r="V10" s="196">
        <v>29075</v>
      </c>
      <c r="W10" s="196">
        <v>29324</v>
      </c>
      <c r="X10" s="196">
        <v>29540</v>
      </c>
      <c r="Y10" s="196">
        <v>29249</v>
      </c>
      <c r="Z10" s="196">
        <v>28661</v>
      </c>
      <c r="AA10" s="196">
        <v>28192</v>
      </c>
      <c r="AB10" s="196">
        <v>27378</v>
      </c>
      <c r="AC10" s="196">
        <v>26557</v>
      </c>
      <c r="AD10" s="196">
        <v>25487</v>
      </c>
      <c r="AE10" s="196">
        <v>24804.54</v>
      </c>
      <c r="AF10" s="196">
        <v>24675</v>
      </c>
      <c r="AG10" s="196">
        <v>24539</v>
      </c>
      <c r="AH10" s="196">
        <v>23654</v>
      </c>
      <c r="AI10" s="196">
        <v>22905.89</v>
      </c>
      <c r="AJ10" s="196">
        <v>22259.75</v>
      </c>
      <c r="AK10" s="196">
        <v>21495</v>
      </c>
      <c r="AL10" s="196">
        <v>20486</v>
      </c>
      <c r="AM10" s="196">
        <v>19522</v>
      </c>
      <c r="AN10" s="196">
        <v>20393</v>
      </c>
      <c r="AO10" s="196">
        <v>19853</v>
      </c>
      <c r="AP10" s="196">
        <v>19421</v>
      </c>
      <c r="AQ10" s="196">
        <v>19382</v>
      </c>
      <c r="AR10" s="196">
        <v>19754</v>
      </c>
      <c r="AS10" s="200">
        <v>20688.810000000001</v>
      </c>
    </row>
    <row r="11" spans="1:121" s="192" customFormat="1" ht="15" customHeight="1" x14ac:dyDescent="0.2">
      <c r="A11" s="434" t="s">
        <v>392</v>
      </c>
      <c r="B11" s="165">
        <v>10785</v>
      </c>
      <c r="C11" s="165">
        <v>11361</v>
      </c>
      <c r="D11" s="165">
        <v>12624</v>
      </c>
      <c r="E11" s="165">
        <v>13169</v>
      </c>
      <c r="F11" s="165">
        <v>13687</v>
      </c>
      <c r="G11" s="165">
        <v>14140</v>
      </c>
      <c r="H11" s="214">
        <v>14457</v>
      </c>
      <c r="I11" s="214">
        <v>14613</v>
      </c>
      <c r="J11" s="214">
        <v>15157</v>
      </c>
      <c r="K11" s="214">
        <v>16095</v>
      </c>
      <c r="L11" s="214">
        <v>16668</v>
      </c>
      <c r="M11" s="214">
        <v>18353</v>
      </c>
      <c r="N11" s="196">
        <v>20832</v>
      </c>
      <c r="O11" s="196">
        <v>23200</v>
      </c>
      <c r="P11" s="196">
        <v>25044</v>
      </c>
      <c r="Q11" s="196">
        <v>26502</v>
      </c>
      <c r="R11" s="196">
        <v>28198</v>
      </c>
      <c r="S11" s="196">
        <v>29544</v>
      </c>
      <c r="T11" s="196">
        <v>30486</v>
      </c>
      <c r="U11" s="196">
        <v>31019</v>
      </c>
      <c r="V11" s="196">
        <v>32170</v>
      </c>
      <c r="W11" s="196">
        <v>33709</v>
      </c>
      <c r="X11" s="196">
        <v>34884</v>
      </c>
      <c r="Y11" s="196">
        <v>35798</v>
      </c>
      <c r="Z11" s="196">
        <v>37856</v>
      </c>
      <c r="AA11" s="196">
        <v>40311</v>
      </c>
      <c r="AB11" s="196">
        <v>42475</v>
      </c>
      <c r="AC11" s="196">
        <v>43262</v>
      </c>
      <c r="AD11" s="196">
        <v>44701</v>
      </c>
      <c r="AE11" s="196">
        <v>45421.470000000008</v>
      </c>
      <c r="AF11" s="196">
        <v>45978</v>
      </c>
      <c r="AG11" s="196">
        <v>45973</v>
      </c>
      <c r="AH11" s="196">
        <v>47379</v>
      </c>
      <c r="AI11" s="196">
        <v>48535.47</v>
      </c>
      <c r="AJ11" s="196">
        <v>49567.39</v>
      </c>
      <c r="AK11" s="196">
        <v>49766</v>
      </c>
      <c r="AL11" s="196">
        <v>50722</v>
      </c>
      <c r="AM11" s="196">
        <v>51469.51</v>
      </c>
      <c r="AN11" s="196">
        <v>56755</v>
      </c>
      <c r="AO11" s="196">
        <v>57241</v>
      </c>
      <c r="AP11" s="196">
        <v>57698</v>
      </c>
      <c r="AQ11" s="196">
        <v>58411</v>
      </c>
      <c r="AR11" s="196">
        <v>59673</v>
      </c>
      <c r="AS11" s="200">
        <v>60845.49</v>
      </c>
    </row>
    <row r="12" spans="1:121" s="192" customFormat="1" ht="15" customHeight="1" x14ac:dyDescent="0.2">
      <c r="A12" s="434" t="s">
        <v>26</v>
      </c>
      <c r="B12" s="165">
        <v>1113</v>
      </c>
      <c r="C12" s="165">
        <v>1417</v>
      </c>
      <c r="D12" s="165">
        <v>2215</v>
      </c>
      <c r="E12" s="165">
        <v>3315</v>
      </c>
      <c r="F12" s="165">
        <v>5272</v>
      </c>
      <c r="G12" s="165">
        <v>7672</v>
      </c>
      <c r="H12" s="214">
        <v>10445</v>
      </c>
      <c r="I12" s="214">
        <v>11516</v>
      </c>
      <c r="J12" s="214">
        <v>12575</v>
      </c>
      <c r="K12" s="214">
        <v>13184</v>
      </c>
      <c r="L12" s="214">
        <v>12956</v>
      </c>
      <c r="M12" s="214">
        <v>12324</v>
      </c>
      <c r="N12" s="196">
        <v>11329</v>
      </c>
      <c r="O12" s="196">
        <v>10221</v>
      </c>
      <c r="P12" s="196">
        <v>9058</v>
      </c>
      <c r="Q12" s="196">
        <v>7954</v>
      </c>
      <c r="R12" s="196">
        <v>6916</v>
      </c>
      <c r="S12" s="196">
        <v>5946</v>
      </c>
      <c r="T12" s="196">
        <v>5011</v>
      </c>
      <c r="U12" s="196">
        <v>4225</v>
      </c>
      <c r="V12" s="196">
        <v>3510</v>
      </c>
      <c r="W12" s="196">
        <v>2871</v>
      </c>
      <c r="X12" s="196">
        <v>2320</v>
      </c>
      <c r="Y12" s="196">
        <v>1851</v>
      </c>
      <c r="Z12" s="196">
        <v>1451</v>
      </c>
      <c r="AA12" s="196">
        <v>1111</v>
      </c>
      <c r="AB12" s="196">
        <v>854</v>
      </c>
      <c r="AC12" s="196">
        <v>693</v>
      </c>
      <c r="AD12" s="196">
        <v>543</v>
      </c>
      <c r="AE12" s="196">
        <v>443.56</v>
      </c>
      <c r="AF12" s="196">
        <v>368</v>
      </c>
      <c r="AG12" s="196">
        <v>319</v>
      </c>
      <c r="AH12" s="196">
        <v>299</v>
      </c>
      <c r="AI12" s="196">
        <v>259.62</v>
      </c>
      <c r="AJ12" s="196">
        <v>223.16</v>
      </c>
      <c r="AK12" s="196">
        <v>194</v>
      </c>
      <c r="AL12" s="196">
        <v>168</v>
      </c>
      <c r="AM12" s="196">
        <v>140</v>
      </c>
      <c r="AN12" s="196">
        <v>120</v>
      </c>
      <c r="AO12" s="196">
        <v>99</v>
      </c>
      <c r="AP12" s="196">
        <v>105</v>
      </c>
      <c r="AQ12" s="196">
        <v>88</v>
      </c>
      <c r="AR12" s="196">
        <v>97</v>
      </c>
      <c r="AS12" s="200">
        <v>95</v>
      </c>
    </row>
    <row r="13" spans="1:121" s="192" customFormat="1" ht="15" customHeight="1" x14ac:dyDescent="0.2">
      <c r="A13" s="434" t="s">
        <v>473</v>
      </c>
      <c r="B13" s="165">
        <v>6115</v>
      </c>
      <c r="C13" s="165">
        <v>6962</v>
      </c>
      <c r="D13" s="165">
        <v>7230</v>
      </c>
      <c r="E13" s="165">
        <v>8284</v>
      </c>
      <c r="F13" s="165">
        <v>8188</v>
      </c>
      <c r="G13" s="165">
        <v>8453</v>
      </c>
      <c r="H13" s="214">
        <v>8601</v>
      </c>
      <c r="I13" s="214">
        <v>9470</v>
      </c>
      <c r="J13" s="214">
        <v>8986</v>
      </c>
      <c r="K13" s="214">
        <v>9314</v>
      </c>
      <c r="L13" s="214">
        <v>9735</v>
      </c>
      <c r="M13" s="214">
        <v>14564</v>
      </c>
      <c r="N13" s="196">
        <v>14195</v>
      </c>
      <c r="O13" s="196">
        <v>15131</v>
      </c>
      <c r="P13" s="196">
        <v>15169</v>
      </c>
      <c r="Q13" s="196">
        <v>17185</v>
      </c>
      <c r="R13" s="196">
        <v>16494</v>
      </c>
      <c r="S13" s="196">
        <v>17142</v>
      </c>
      <c r="T13" s="196">
        <v>17454</v>
      </c>
      <c r="U13" s="196">
        <v>18633</v>
      </c>
      <c r="V13" s="196">
        <v>17902</v>
      </c>
      <c r="W13" s="196">
        <v>18545</v>
      </c>
      <c r="X13" s="196">
        <v>18851</v>
      </c>
      <c r="Y13" s="196">
        <v>20921</v>
      </c>
      <c r="Z13" s="196">
        <v>20263</v>
      </c>
      <c r="AA13" s="196">
        <v>21156</v>
      </c>
      <c r="AB13" s="196">
        <v>21866</v>
      </c>
      <c r="AC13" s="196">
        <v>23915</v>
      </c>
      <c r="AD13" s="196">
        <v>23290</v>
      </c>
      <c r="AE13" s="196">
        <v>23793</v>
      </c>
      <c r="AF13" s="196">
        <v>24273</v>
      </c>
      <c r="AG13" s="196">
        <v>26233</v>
      </c>
      <c r="AH13" s="196">
        <v>24586</v>
      </c>
      <c r="AI13" s="196">
        <v>25411.450000000004</v>
      </c>
      <c r="AJ13" s="196">
        <v>25969</v>
      </c>
      <c r="AK13" s="196">
        <v>28592</v>
      </c>
      <c r="AL13" s="196">
        <v>27565</v>
      </c>
      <c r="AM13" s="196">
        <v>28757</v>
      </c>
      <c r="AN13" s="196">
        <v>33469</v>
      </c>
      <c r="AO13" s="196">
        <v>35621.893354729997</v>
      </c>
      <c r="AP13" s="196">
        <v>34018</v>
      </c>
      <c r="AQ13" s="196">
        <v>33525</v>
      </c>
      <c r="AR13" s="196">
        <v>32867</v>
      </c>
      <c r="AS13" s="200">
        <v>34436.966690825</v>
      </c>
    </row>
    <row r="14" spans="1:121" ht="5.0999999999999996" customHeight="1" x14ac:dyDescent="0.2">
      <c r="A14" s="23"/>
      <c r="B14" s="119"/>
      <c r="C14" s="119"/>
      <c r="D14" s="119"/>
      <c r="E14" s="119"/>
      <c r="F14" s="119"/>
      <c r="G14" s="119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  <c r="AH14" s="54"/>
      <c r="AI14" s="54"/>
      <c r="AJ14" s="54"/>
      <c r="AK14" s="54"/>
      <c r="AL14" s="54"/>
      <c r="AM14" s="54"/>
      <c r="AN14" s="54"/>
      <c r="AO14" s="54"/>
      <c r="AP14" s="54"/>
      <c r="AQ14" s="54"/>
      <c r="AR14" s="54"/>
      <c r="AS14" s="54"/>
    </row>
    <row r="15" spans="1:121" s="178" customFormat="1" ht="15" customHeight="1" thickBot="1" x14ac:dyDescent="0.25">
      <c r="A15" s="175" t="s">
        <v>13</v>
      </c>
      <c r="B15" s="176">
        <f t="shared" ref="B15:AO15" si="0">B10+B11+B12+B13</f>
        <v>34857</v>
      </c>
      <c r="C15" s="176">
        <f t="shared" si="0"/>
        <v>37932</v>
      </c>
      <c r="D15" s="176">
        <f t="shared" si="0"/>
        <v>41625</v>
      </c>
      <c r="E15" s="176">
        <f t="shared" si="0"/>
        <v>45951</v>
      </c>
      <c r="F15" s="176">
        <f t="shared" si="0"/>
        <v>48412</v>
      </c>
      <c r="G15" s="176">
        <f t="shared" si="0"/>
        <v>51296</v>
      </c>
      <c r="H15" s="176">
        <f t="shared" si="0"/>
        <v>54297</v>
      </c>
      <c r="I15" s="176">
        <f t="shared" si="0"/>
        <v>56095</v>
      </c>
      <c r="J15" s="176">
        <f t="shared" si="0"/>
        <v>56258</v>
      </c>
      <c r="K15" s="176">
        <f t="shared" si="0"/>
        <v>57188</v>
      </c>
      <c r="L15" s="176">
        <f t="shared" si="0"/>
        <v>57804</v>
      </c>
      <c r="M15" s="176">
        <f t="shared" si="0"/>
        <v>63952</v>
      </c>
      <c r="N15" s="176">
        <f t="shared" si="0"/>
        <v>66966</v>
      </c>
      <c r="O15" s="176">
        <f t="shared" si="0"/>
        <v>69918</v>
      </c>
      <c r="P15" s="176">
        <f t="shared" si="0"/>
        <v>71939</v>
      </c>
      <c r="Q15" s="176">
        <f t="shared" si="0"/>
        <v>76508</v>
      </c>
      <c r="R15" s="176">
        <f t="shared" si="0"/>
        <v>77419</v>
      </c>
      <c r="S15" s="176">
        <f t="shared" si="0"/>
        <v>79436</v>
      </c>
      <c r="T15" s="176">
        <f t="shared" si="0"/>
        <v>80505</v>
      </c>
      <c r="U15" s="176">
        <f t="shared" si="0"/>
        <v>82638</v>
      </c>
      <c r="V15" s="176">
        <f t="shared" si="0"/>
        <v>82657</v>
      </c>
      <c r="W15" s="176">
        <f t="shared" si="0"/>
        <v>84449</v>
      </c>
      <c r="X15" s="176">
        <f t="shared" si="0"/>
        <v>85595</v>
      </c>
      <c r="Y15" s="176">
        <f t="shared" si="0"/>
        <v>87819</v>
      </c>
      <c r="Z15" s="176">
        <f t="shared" si="0"/>
        <v>88231</v>
      </c>
      <c r="AA15" s="176">
        <f t="shared" si="0"/>
        <v>90770</v>
      </c>
      <c r="AB15" s="176">
        <f t="shared" si="0"/>
        <v>92573</v>
      </c>
      <c r="AC15" s="176">
        <f t="shared" si="0"/>
        <v>94427</v>
      </c>
      <c r="AD15" s="176">
        <f t="shared" si="0"/>
        <v>94021</v>
      </c>
      <c r="AE15" s="176">
        <f t="shared" si="0"/>
        <v>94462.57</v>
      </c>
      <c r="AF15" s="176">
        <f t="shared" si="0"/>
        <v>95294</v>
      </c>
      <c r="AG15" s="176">
        <f t="shared" si="0"/>
        <v>97064</v>
      </c>
      <c r="AH15" s="176">
        <f t="shared" si="0"/>
        <v>95918</v>
      </c>
      <c r="AI15" s="176">
        <f t="shared" si="0"/>
        <v>97112.43</v>
      </c>
      <c r="AJ15" s="176">
        <f t="shared" si="0"/>
        <v>98019.3</v>
      </c>
      <c r="AK15" s="176">
        <f t="shared" si="0"/>
        <v>100047</v>
      </c>
      <c r="AL15" s="176">
        <f t="shared" si="0"/>
        <v>98941</v>
      </c>
      <c r="AM15" s="176">
        <f t="shared" si="0"/>
        <v>99888.510000000009</v>
      </c>
      <c r="AN15" s="176">
        <f t="shared" si="0"/>
        <v>110737</v>
      </c>
      <c r="AO15" s="176">
        <f t="shared" si="0"/>
        <v>112814.89335473</v>
      </c>
      <c r="AP15" s="176">
        <f t="shared" ref="AP15:AQ15" si="1">AP10+AP11+AP12+AP13</f>
        <v>111242</v>
      </c>
      <c r="AQ15" s="176">
        <f t="shared" si="1"/>
        <v>111406</v>
      </c>
      <c r="AR15" s="176">
        <f t="shared" ref="AR15:AS15" si="2">AR10+AR11+AR12+AR13</f>
        <v>112391</v>
      </c>
      <c r="AS15" s="176">
        <f t="shared" si="2"/>
        <v>116066.266690825</v>
      </c>
      <c r="AT15" s="193"/>
      <c r="AU15" s="193"/>
      <c r="AV15" s="193"/>
      <c r="AW15" s="193"/>
      <c r="AX15" s="193"/>
      <c r="AY15" s="193"/>
      <c r="AZ15" s="193"/>
      <c r="BA15" s="193"/>
      <c r="BB15" s="193"/>
      <c r="BC15" s="193"/>
      <c r="BD15" s="193"/>
      <c r="BE15" s="193"/>
      <c r="BF15" s="193"/>
      <c r="BG15" s="193"/>
      <c r="BH15" s="193"/>
      <c r="BI15" s="193"/>
      <c r="BJ15" s="193"/>
      <c r="BK15" s="193"/>
      <c r="BL15" s="193"/>
      <c r="BM15" s="193"/>
      <c r="BN15" s="193"/>
      <c r="BO15" s="193"/>
      <c r="BP15" s="193"/>
      <c r="BQ15" s="193"/>
      <c r="BR15" s="193"/>
      <c r="BS15" s="193"/>
      <c r="BT15" s="193"/>
      <c r="BU15" s="193"/>
      <c r="BV15" s="193"/>
      <c r="BW15" s="193"/>
      <c r="BX15" s="193"/>
      <c r="BY15" s="193"/>
      <c r="BZ15" s="193"/>
      <c r="CA15" s="193"/>
      <c r="CB15" s="193"/>
      <c r="CC15" s="193"/>
      <c r="CD15" s="193"/>
      <c r="CE15" s="193"/>
      <c r="CF15" s="193"/>
      <c r="CG15" s="193"/>
      <c r="CH15" s="193"/>
      <c r="CI15" s="193"/>
      <c r="CJ15" s="193"/>
      <c r="CK15" s="193"/>
      <c r="CL15" s="193"/>
      <c r="CM15" s="193"/>
      <c r="CN15" s="193"/>
      <c r="CO15" s="193"/>
      <c r="CP15" s="193"/>
      <c r="CQ15" s="193"/>
      <c r="CR15" s="193"/>
      <c r="CS15" s="193"/>
      <c r="CT15" s="193"/>
      <c r="CU15" s="193"/>
      <c r="CV15" s="193"/>
      <c r="CW15" s="193"/>
      <c r="CX15" s="193"/>
      <c r="CY15" s="193"/>
      <c r="CZ15" s="193"/>
      <c r="DA15" s="193"/>
      <c r="DB15" s="193"/>
      <c r="DC15" s="193"/>
      <c r="DD15" s="193"/>
      <c r="DE15" s="193"/>
      <c r="DF15" s="193"/>
      <c r="DG15" s="193"/>
      <c r="DH15" s="193"/>
      <c r="DI15" s="193"/>
      <c r="DJ15" s="193"/>
      <c r="DK15" s="193"/>
      <c r="DL15" s="193"/>
      <c r="DM15" s="193"/>
      <c r="DN15" s="193"/>
      <c r="DO15" s="193"/>
      <c r="DP15" s="193"/>
      <c r="DQ15" s="193"/>
    </row>
    <row r="16" spans="1:121" ht="12.95" customHeight="1" thickTop="1" x14ac:dyDescent="0.2">
      <c r="A16" s="24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2"/>
      <c r="W16" s="22"/>
      <c r="X16" s="22"/>
      <c r="Y16" s="22"/>
    </row>
    <row r="17" spans="1:26" s="65" customFormat="1" ht="12" x14ac:dyDescent="0.2">
      <c r="A17" s="186"/>
      <c r="B17" s="61"/>
      <c r="C17" s="61"/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</row>
    <row r="18" spans="1:26" s="65" customFormat="1" ht="11.25" x14ac:dyDescent="0.2">
      <c r="A18" s="61"/>
      <c r="B18" s="61"/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</row>
    <row r="19" spans="1:26" s="65" customFormat="1" ht="11.25" x14ac:dyDescent="0.2">
      <c r="A19" s="61"/>
      <c r="B19" s="61"/>
      <c r="C19" s="61"/>
      <c r="D19" s="61"/>
      <c r="E19" s="61"/>
      <c r="F19" s="61"/>
      <c r="G19" s="61"/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</row>
    <row r="20" spans="1:26" s="65" customFormat="1" ht="11.25" x14ac:dyDescent="0.2">
      <c r="A20" s="61"/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</row>
    <row r="21" spans="1:26" s="65" customFormat="1" ht="11.25" x14ac:dyDescent="0.2">
      <c r="A21" s="61"/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</row>
    <row r="22" spans="1:26" s="65" customFormat="1" x14ac:dyDescent="0.2">
      <c r="A22" s="61"/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6"/>
      <c r="W22" s="66"/>
      <c r="X22" s="66"/>
      <c r="Y22" s="66"/>
      <c r="Z22" s="25"/>
    </row>
    <row r="23" spans="1:26" s="65" customFormat="1" x14ac:dyDescent="0.2">
      <c r="A23" s="61"/>
      <c r="B23" s="61"/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6"/>
      <c r="W23" s="66"/>
      <c r="X23" s="66"/>
      <c r="Y23" s="66"/>
      <c r="Z23" s="25"/>
    </row>
    <row r="24" spans="1:26" s="65" customFormat="1" ht="11.25" x14ac:dyDescent="0.2">
      <c r="A24" s="61"/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</row>
    <row r="25" spans="1:26" s="65" customFormat="1" ht="11.25" x14ac:dyDescent="0.2">
      <c r="A25" s="61"/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</row>
    <row r="26" spans="1:26" s="65" customFormat="1" ht="11.25" x14ac:dyDescent="0.2">
      <c r="A26" s="61"/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</row>
    <row r="27" spans="1:26" s="65" customFormat="1" ht="11.25" x14ac:dyDescent="0.2">
      <c r="A27" s="61"/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</row>
    <row r="28" spans="1:26" s="65" customFormat="1" ht="11.25" x14ac:dyDescent="0.2">
      <c r="A28" s="61"/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</row>
    <row r="29" spans="1:26" s="65" customFormat="1" ht="11.25" x14ac:dyDescent="0.2">
      <c r="A29" s="61"/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</row>
    <row r="30" spans="1:26" s="65" customFormat="1" ht="11.25" x14ac:dyDescent="0.2">
      <c r="A30" s="61"/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</row>
    <row r="31" spans="1:26" s="65" customFormat="1" ht="11.25" x14ac:dyDescent="0.2">
      <c r="A31" s="61"/>
      <c r="B31" s="61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</row>
    <row r="32" spans="1:26" s="65" customFormat="1" ht="11.25" x14ac:dyDescent="0.2">
      <c r="A32" s="61"/>
      <c r="B32" s="61"/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</row>
    <row r="33" spans="1:25" s="65" customFormat="1" ht="11.25" x14ac:dyDescent="0.2">
      <c r="A33" s="61"/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</row>
    <row r="34" spans="1:25" s="65" customFormat="1" ht="11.25" x14ac:dyDescent="0.2">
      <c r="A34" s="61"/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</row>
    <row r="35" spans="1:25" s="65" customFormat="1" ht="11.25" x14ac:dyDescent="0.2">
      <c r="A35" s="61"/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</row>
    <row r="36" spans="1:25" s="65" customFormat="1" ht="11.25" x14ac:dyDescent="0.2">
      <c r="A36" s="61"/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</row>
    <row r="37" spans="1:25" s="65" customFormat="1" ht="11.25" x14ac:dyDescent="0.2">
      <c r="A37" s="61"/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</row>
    <row r="38" spans="1:25" s="65" customFormat="1" ht="11.25" x14ac:dyDescent="0.2">
      <c r="A38" s="61"/>
      <c r="B38" s="61"/>
      <c r="C38" s="61"/>
      <c r="D38" s="61"/>
      <c r="E38" s="61"/>
      <c r="F38" s="61"/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</row>
    <row r="39" spans="1:25" s="65" customFormat="1" ht="11.25" x14ac:dyDescent="0.2">
      <c r="A39" s="61"/>
      <c r="B39" s="61"/>
      <c r="C39" s="61"/>
      <c r="D39" s="61"/>
      <c r="E39" s="61"/>
      <c r="F39" s="61"/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</row>
    <row r="40" spans="1:25" s="65" customFormat="1" ht="11.25" x14ac:dyDescent="0.2">
      <c r="A40" s="61"/>
      <c r="B40" s="61"/>
      <c r="C40" s="61"/>
      <c r="D40" s="61"/>
      <c r="E40" s="61"/>
      <c r="F40" s="61"/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</row>
    <row r="41" spans="1:25" s="65" customFormat="1" ht="11.25" x14ac:dyDescent="0.2">
      <c r="A41" s="61"/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</row>
    <row r="42" spans="1:25" s="65" customFormat="1" ht="11.25" x14ac:dyDescent="0.2">
      <c r="A42" s="61"/>
      <c r="B42" s="61"/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</row>
    <row r="43" spans="1:25" s="65" customFormat="1" ht="11.25" x14ac:dyDescent="0.2">
      <c r="A43" s="61"/>
      <c r="B43" s="61"/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</row>
    <row r="44" spans="1:25" s="65" customFormat="1" ht="11.25" x14ac:dyDescent="0.2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</row>
    <row r="45" spans="1:25" s="65" customFormat="1" ht="11.25" x14ac:dyDescent="0.2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</row>
    <row r="46" spans="1:25" s="65" customFormat="1" ht="11.25" x14ac:dyDescent="0.2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</row>
    <row r="47" spans="1:25" s="65" customFormat="1" ht="11.25" x14ac:dyDescent="0.2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</row>
    <row r="48" spans="1:25" s="65" customFormat="1" ht="11.25" x14ac:dyDescent="0.2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</row>
    <row r="49" spans="1:25" s="65" customFormat="1" ht="11.25" x14ac:dyDescent="0.2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</row>
    <row r="50" spans="1:25" s="65" customFormat="1" ht="11.25" x14ac:dyDescent="0.2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</row>
    <row r="51" spans="1:25" s="65" customFormat="1" ht="11.25" x14ac:dyDescent="0.2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</row>
    <row r="52" spans="1:25" s="65" customFormat="1" ht="11.25" x14ac:dyDescent="0.2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</row>
    <row r="53" spans="1:25" s="65" customFormat="1" ht="11.25" x14ac:dyDescent="0.2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</row>
    <row r="54" spans="1:25" s="65" customFormat="1" ht="11.25" x14ac:dyDescent="0.2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</row>
    <row r="55" spans="1:25" s="65" customFormat="1" ht="11.25" x14ac:dyDescent="0.2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</row>
    <row r="56" spans="1:25" s="65" customFormat="1" ht="11.25" x14ac:dyDescent="0.2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</row>
    <row r="57" spans="1:25" s="65" customFormat="1" ht="11.25" x14ac:dyDescent="0.2">
      <c r="A57" s="61"/>
      <c r="B57" s="61"/>
      <c r="C57" s="61"/>
      <c r="D57" s="61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</row>
    <row r="58" spans="1:25" s="65" customFormat="1" ht="11.25" x14ac:dyDescent="0.2">
      <c r="A58" s="61"/>
      <c r="B58" s="61"/>
      <c r="C58" s="61"/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</row>
    <row r="59" spans="1:25" s="65" customFormat="1" ht="11.25" x14ac:dyDescent="0.2">
      <c r="A59" s="61"/>
      <c r="B59" s="61"/>
      <c r="C59" s="61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</row>
    <row r="60" spans="1:25" s="65" customFormat="1" ht="11.25" x14ac:dyDescent="0.2">
      <c r="A60" s="61"/>
      <c r="B60" s="61"/>
      <c r="C60" s="61"/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</row>
    <row r="61" spans="1:25" s="65" customFormat="1" ht="11.25" x14ac:dyDescent="0.2">
      <c r="A61" s="61"/>
      <c r="B61" s="61"/>
      <c r="C61" s="61"/>
      <c r="D61" s="61"/>
      <c r="E61" s="61"/>
      <c r="F61" s="61"/>
      <c r="G61" s="61"/>
      <c r="H61" s="61"/>
      <c r="I61" s="61"/>
      <c r="J61" s="61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</row>
    <row r="62" spans="1:25" s="65" customFormat="1" ht="11.25" x14ac:dyDescent="0.2">
      <c r="A62" s="61"/>
      <c r="B62" s="61"/>
      <c r="C62" s="61"/>
      <c r="D62" s="61"/>
      <c r="E62" s="61"/>
      <c r="F62" s="61"/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</row>
    <row r="63" spans="1:25" s="65" customFormat="1" ht="11.25" x14ac:dyDescent="0.2">
      <c r="A63" s="61"/>
      <c r="B63" s="61"/>
      <c r="C63" s="61"/>
      <c r="D63" s="61"/>
      <c r="E63" s="61"/>
      <c r="F63" s="61"/>
      <c r="G63" s="61"/>
      <c r="H63" s="61"/>
      <c r="I63" s="61"/>
      <c r="J63" s="61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1"/>
    </row>
    <row r="64" spans="1:25" s="65" customFormat="1" ht="11.25" x14ac:dyDescent="0.2">
      <c r="A64" s="61"/>
      <c r="B64" s="61"/>
      <c r="C64" s="61"/>
      <c r="D64" s="61"/>
      <c r="E64" s="61"/>
      <c r="F64" s="61"/>
      <c r="G64" s="61"/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1"/>
    </row>
    <row r="65" spans="1:25" s="65" customFormat="1" ht="11.25" x14ac:dyDescent="0.2">
      <c r="A65" s="61"/>
      <c r="B65" s="61"/>
      <c r="C65" s="61"/>
      <c r="D65" s="61"/>
      <c r="E65" s="61"/>
      <c r="F65" s="61"/>
      <c r="G65" s="61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</row>
    <row r="66" spans="1:25" s="65" customFormat="1" ht="11.25" x14ac:dyDescent="0.2">
      <c r="A66" s="61"/>
      <c r="B66" s="61"/>
      <c r="C66" s="61"/>
      <c r="D66" s="61"/>
      <c r="E66" s="61"/>
      <c r="F66" s="61"/>
      <c r="G66" s="61"/>
      <c r="H66" s="61"/>
      <c r="I66" s="61"/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1"/>
    </row>
    <row r="67" spans="1:25" s="65" customFormat="1" ht="11.25" x14ac:dyDescent="0.2">
      <c r="A67" s="61"/>
      <c r="B67" s="61"/>
      <c r="C67" s="61"/>
      <c r="D67" s="61"/>
      <c r="E67" s="61"/>
      <c r="F67" s="61"/>
      <c r="G67" s="61"/>
      <c r="H67" s="61"/>
      <c r="I67" s="61"/>
      <c r="J67" s="61"/>
      <c r="K67" s="61"/>
      <c r="L67" s="61"/>
      <c r="M67" s="61"/>
      <c r="N67" s="61"/>
      <c r="O67" s="61"/>
      <c r="P67" s="61"/>
      <c r="Q67" s="61"/>
      <c r="R67" s="61"/>
      <c r="S67" s="61"/>
      <c r="T67" s="61"/>
      <c r="U67" s="61"/>
      <c r="V67" s="61"/>
      <c r="W67" s="61"/>
      <c r="X67" s="61"/>
      <c r="Y67" s="61"/>
    </row>
    <row r="68" spans="1:25" s="65" customFormat="1" ht="11.25" x14ac:dyDescent="0.2">
      <c r="A68" s="61"/>
      <c r="B68" s="61"/>
      <c r="C68" s="61"/>
      <c r="D68" s="61"/>
      <c r="E68" s="61"/>
      <c r="F68" s="61"/>
      <c r="G68" s="61"/>
      <c r="H68" s="61"/>
      <c r="I68" s="61"/>
      <c r="J68" s="61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61"/>
      <c r="W68" s="61"/>
      <c r="X68" s="61"/>
      <c r="Y68" s="61"/>
    </row>
    <row r="69" spans="1:25" s="65" customFormat="1" ht="11.25" x14ac:dyDescent="0.2">
      <c r="A69" s="61"/>
      <c r="B69" s="61"/>
      <c r="C69" s="61"/>
      <c r="D69" s="61"/>
      <c r="E69" s="61"/>
      <c r="F69" s="61"/>
      <c r="G69" s="61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</row>
    <row r="70" spans="1:25" s="65" customFormat="1" ht="11.25" x14ac:dyDescent="0.2">
      <c r="A70" s="61"/>
      <c r="B70" s="61"/>
      <c r="C70" s="61"/>
      <c r="D70" s="61"/>
      <c r="E70" s="61"/>
      <c r="F70" s="61"/>
      <c r="G70" s="61"/>
      <c r="H70" s="61"/>
      <c r="I70" s="61"/>
      <c r="J70" s="61"/>
      <c r="K70" s="61"/>
      <c r="L70" s="61"/>
      <c r="M70" s="61"/>
      <c r="N70" s="61"/>
      <c r="O70" s="61"/>
      <c r="P70" s="61"/>
      <c r="Q70" s="61"/>
      <c r="R70" s="61"/>
      <c r="S70" s="61"/>
      <c r="T70" s="61"/>
      <c r="U70" s="61"/>
      <c r="V70" s="61"/>
      <c r="W70" s="61"/>
      <c r="X70" s="61"/>
      <c r="Y70" s="61"/>
    </row>
    <row r="71" spans="1:25" s="65" customFormat="1" ht="11.25" x14ac:dyDescent="0.2">
      <c r="A71" s="61"/>
      <c r="B71" s="61"/>
      <c r="C71" s="61"/>
      <c r="D71" s="61"/>
      <c r="E71" s="61"/>
      <c r="F71" s="61"/>
      <c r="G71" s="61"/>
      <c r="H71" s="61"/>
      <c r="I71" s="61"/>
      <c r="J71" s="61"/>
      <c r="K71" s="61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</row>
  </sheetData>
  <customSheetViews>
    <customSheetView guid="{B7440494-8EA9-4463-9947-E5D20E74049D}" showGridLines="0">
      <pane xSplit="1" ySplit="10" topLeftCell="AE11" activePane="bottomRight" state="frozen"/>
      <selection pane="bottomRight" activeCell="AP12" sqref="AP12"/>
      <colBreaks count="4" manualBreakCount="4">
        <brk id="9" max="29" man="1"/>
        <brk id="17" max="29" man="1"/>
        <brk id="25" max="29" man="1"/>
        <brk id="33" max="29" man="1"/>
      </colBreaks>
      <pageMargins left="0.39370078740157483" right="0" top="0.55118110236220474" bottom="0" header="0" footer="0"/>
      <printOptions horizontalCentered="1"/>
      <pageSetup paperSize="9" scale="94" orientation="landscape" r:id="rId1"/>
      <headerFooter alignWithMargins="0">
        <oddHeader>&amp;R&amp;P/&amp;N</oddHeader>
      </headerFooter>
    </customSheetView>
    <customSheetView guid="{6D89F6EF-F5AD-478F-979A-5AF1BC78EF91}" showGridLines="0">
      <pane xSplit="2" ySplit="9" topLeftCell="C10" activePane="bottomRight" state="frozen"/>
      <selection pane="bottomRight" activeCell="C10" sqref="C10"/>
      <colBreaks count="3" manualBreakCount="3">
        <brk id="10" max="36" man="1"/>
        <brk id="26" max="36" man="1"/>
        <brk id="42" max="36" man="1"/>
      </colBreaks>
      <pageMargins left="0.39370078740157483" right="0" top="0.55118110236220474" bottom="0" header="0" footer="0"/>
      <printOptions horizontalCentered="1"/>
      <pageSetup paperSize="9" orientation="landscape" r:id="rId2"/>
      <headerFooter alignWithMargins="0"/>
    </customSheetView>
    <customSheetView guid="{A9134056-6B1C-4A42-AFE9-9712EF3EF3D4}" showPageBreaks="1" showGridLines="0" printArea="1">
      <pane xSplit="2" ySplit="9" topLeftCell="C10" activePane="bottomRight" state="frozen"/>
      <selection pane="bottomRight" activeCell="C10" sqref="C10"/>
      <colBreaks count="4" manualBreakCount="4">
        <brk id="10" max="36" man="1"/>
        <brk id="19" max="30" man="1"/>
        <brk id="26" max="36" man="1"/>
        <brk id="42" max="36" man="1"/>
      </colBreaks>
      <pageMargins left="0.39370078740157483" right="0" top="0.55118110236220474" bottom="0" header="0" footer="0"/>
      <printOptions horizontalCentered="1"/>
      <pageSetup paperSize="9" orientation="landscape" r:id="rId3"/>
      <headerFooter alignWithMargins="0"/>
    </customSheetView>
  </customSheetViews>
  <hyperlinks>
    <hyperlink ref="AS6" location="Índex!E9" display="Índex"/>
  </hyperlinks>
  <printOptions horizontalCentered="1" gridLinesSet="0"/>
  <pageMargins left="0" right="0" top="0.39370078740157483" bottom="0" header="0" footer="0"/>
  <pageSetup paperSize="9" scale="94" orientation="landscape" r:id="rId4"/>
  <headerFooter alignWithMargins="0">
    <oddHeader>&amp;R&amp;P/&amp;N</oddHeader>
  </headerFooter>
  <colBreaks count="5" manualBreakCount="5">
    <brk id="9" max="16" man="1"/>
    <brk id="17" max="16" man="1"/>
    <brk id="25" max="16" man="1"/>
    <brk id="33" max="16" man="1"/>
    <brk id="41" max="16" man="1"/>
  </colBreaks>
  <drawing r:id="rId5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1"/>
  <dimension ref="A1:HJ83"/>
  <sheetViews>
    <sheetView showGridLines="0" zoomScaleNormal="100" workbookViewId="0">
      <pane xSplit="1" ySplit="9" topLeftCell="BS10" activePane="bottomRight" state="frozen"/>
      <selection activeCell="E9" sqref="E9"/>
      <selection pane="topRight" activeCell="E9" sqref="E9"/>
      <selection pane="bottomLeft" activeCell="E9" sqref="E9"/>
      <selection pane="bottomRight" activeCell="CK6" sqref="CK6"/>
    </sheetView>
  </sheetViews>
  <sheetFormatPr defaultColWidth="10.7109375" defaultRowHeight="12.75" x14ac:dyDescent="0.2"/>
  <cols>
    <col min="1" max="1" width="34.5703125" style="188" bestFit="1" customWidth="1"/>
    <col min="2" max="2" width="7.5703125" style="26" bestFit="1" customWidth="1"/>
    <col min="3" max="3" width="6.5703125" style="26" bestFit="1" customWidth="1"/>
    <col min="4" max="4" width="7.5703125" style="26" bestFit="1" customWidth="1"/>
    <col min="5" max="5" width="6.5703125" style="26" bestFit="1" customWidth="1"/>
    <col min="6" max="6" width="7.5703125" style="26" bestFit="1" customWidth="1"/>
    <col min="7" max="7" width="6.5703125" style="26" bestFit="1" customWidth="1"/>
    <col min="8" max="8" width="7.5703125" style="26" bestFit="1" customWidth="1"/>
    <col min="9" max="9" width="6.5703125" style="26" bestFit="1" customWidth="1"/>
    <col min="10" max="10" width="7.5703125" style="26" bestFit="1" customWidth="1"/>
    <col min="11" max="11" width="6.5703125" style="26" bestFit="1" customWidth="1"/>
    <col min="12" max="12" width="7.5703125" style="26" bestFit="1" customWidth="1"/>
    <col min="13" max="13" width="6.5703125" style="26" bestFit="1" customWidth="1"/>
    <col min="14" max="14" width="7.5703125" style="26" bestFit="1" customWidth="1"/>
    <col min="15" max="15" width="6.5703125" style="26" bestFit="1" customWidth="1"/>
    <col min="16" max="16" width="7.5703125" style="26" bestFit="1" customWidth="1"/>
    <col min="17" max="17" width="6.5703125" style="26" bestFit="1" customWidth="1"/>
    <col min="18" max="18" width="7.5703125" style="26" bestFit="1" customWidth="1"/>
    <col min="19" max="19" width="6.5703125" style="26" bestFit="1" customWidth="1"/>
    <col min="20" max="20" width="7.5703125" style="26" bestFit="1" customWidth="1"/>
    <col min="21" max="21" width="6.5703125" style="26" bestFit="1" customWidth="1"/>
    <col min="22" max="22" width="7.5703125" style="26" bestFit="1" customWidth="1"/>
    <col min="23" max="23" width="6.5703125" style="26" bestFit="1" customWidth="1"/>
    <col min="24" max="24" width="7.5703125" style="26" bestFit="1" customWidth="1"/>
    <col min="25" max="25" width="6.5703125" style="26" bestFit="1" customWidth="1"/>
    <col min="26" max="26" width="7.5703125" style="26" bestFit="1" customWidth="1"/>
    <col min="27" max="27" width="6.5703125" style="26" bestFit="1" customWidth="1"/>
    <col min="28" max="28" width="7.5703125" style="26" bestFit="1" customWidth="1"/>
    <col min="29" max="29" width="6.5703125" style="26" bestFit="1" customWidth="1"/>
    <col min="30" max="30" width="7.5703125" style="26" bestFit="1" customWidth="1"/>
    <col min="31" max="31" width="6.5703125" style="26" bestFit="1" customWidth="1"/>
    <col min="32" max="32" width="7.5703125" style="26" bestFit="1" customWidth="1"/>
    <col min="33" max="33" width="6.5703125" style="26" bestFit="1" customWidth="1"/>
    <col min="34" max="34" width="7.5703125" style="26" bestFit="1" customWidth="1"/>
    <col min="35" max="35" width="6.5703125" style="26" bestFit="1" customWidth="1"/>
    <col min="36" max="36" width="7.5703125" style="26" bestFit="1" customWidth="1"/>
    <col min="37" max="37" width="6.5703125" style="26" bestFit="1" customWidth="1"/>
    <col min="38" max="38" width="7.5703125" style="26" bestFit="1" customWidth="1"/>
    <col min="39" max="39" width="6.5703125" style="26" bestFit="1" customWidth="1"/>
    <col min="40" max="40" width="7.5703125" style="26" bestFit="1" customWidth="1"/>
    <col min="41" max="41" width="6.5703125" style="26" bestFit="1" customWidth="1"/>
    <col min="42" max="42" width="7.5703125" style="26" bestFit="1" customWidth="1"/>
    <col min="43" max="43" width="6.5703125" style="26" bestFit="1" customWidth="1"/>
    <col min="44" max="44" width="7.5703125" style="26" bestFit="1" customWidth="1"/>
    <col min="45" max="45" width="6.5703125" style="26" bestFit="1" customWidth="1"/>
    <col min="46" max="46" width="7.5703125" style="26" bestFit="1" customWidth="1"/>
    <col min="47" max="47" width="6.5703125" style="26" bestFit="1" customWidth="1"/>
    <col min="48" max="48" width="7.5703125" style="26" bestFit="1" customWidth="1"/>
    <col min="49" max="49" width="6.5703125" style="26" bestFit="1" customWidth="1"/>
    <col min="50" max="50" width="7.5703125" style="17" bestFit="1" customWidth="1"/>
    <col min="51" max="51" width="6.5703125" style="17" bestFit="1" customWidth="1"/>
    <col min="52" max="52" width="7.5703125" style="17" bestFit="1" customWidth="1"/>
    <col min="53" max="53" width="6.5703125" style="17" bestFit="1" customWidth="1"/>
    <col min="54" max="54" width="7.5703125" style="17" bestFit="1" customWidth="1"/>
    <col min="55" max="55" width="6.5703125" style="17" bestFit="1" customWidth="1"/>
    <col min="56" max="56" width="7.5703125" style="17" bestFit="1" customWidth="1"/>
    <col min="57" max="57" width="6.5703125" style="17" bestFit="1" customWidth="1"/>
    <col min="58" max="58" width="7.5703125" style="17" bestFit="1" customWidth="1"/>
    <col min="59" max="59" width="6.5703125" style="17" bestFit="1" customWidth="1"/>
    <col min="60" max="60" width="7.5703125" style="17" bestFit="1" customWidth="1"/>
    <col min="61" max="61" width="6.5703125" style="17" bestFit="1" customWidth="1"/>
    <col min="62" max="62" width="7.5703125" style="17" bestFit="1" customWidth="1"/>
    <col min="63" max="63" width="6.5703125" style="17" bestFit="1" customWidth="1"/>
    <col min="64" max="64" width="7.5703125" style="17" bestFit="1" customWidth="1"/>
    <col min="65" max="65" width="6.5703125" style="17" bestFit="1" customWidth="1"/>
    <col min="66" max="66" width="7.5703125" style="17" bestFit="1" customWidth="1"/>
    <col min="67" max="67" width="6.5703125" style="17" bestFit="1" customWidth="1"/>
    <col min="68" max="68" width="7.5703125" style="17" bestFit="1" customWidth="1"/>
    <col min="69" max="69" width="6.5703125" style="17" bestFit="1" customWidth="1"/>
    <col min="70" max="70" width="7.5703125" style="17" bestFit="1" customWidth="1"/>
    <col min="71" max="71" width="6.5703125" style="17" bestFit="1" customWidth="1"/>
    <col min="72" max="72" width="7.5703125" style="17" bestFit="1" customWidth="1"/>
    <col min="73" max="73" width="6.5703125" style="17" bestFit="1" customWidth="1"/>
    <col min="74" max="74" width="7.5703125" style="17" bestFit="1" customWidth="1"/>
    <col min="75" max="75" width="6.5703125" style="17" bestFit="1" customWidth="1"/>
    <col min="76" max="76" width="7.5703125" style="17" bestFit="1" customWidth="1"/>
    <col min="77" max="77" width="6.5703125" style="17" bestFit="1" customWidth="1"/>
    <col min="78" max="78" width="7.5703125" style="17" bestFit="1" customWidth="1"/>
    <col min="79" max="79" width="6.5703125" style="17" bestFit="1" customWidth="1"/>
    <col min="80" max="80" width="7.5703125" style="17" bestFit="1" customWidth="1"/>
    <col min="81" max="81" width="6.5703125" style="17" bestFit="1" customWidth="1"/>
    <col min="82" max="82" width="7.5703125" style="17" bestFit="1" customWidth="1"/>
    <col min="83" max="83" width="6.5703125" style="17" bestFit="1" customWidth="1"/>
    <col min="84" max="84" width="7.5703125" style="17" bestFit="1" customWidth="1"/>
    <col min="85" max="85" width="6.5703125" style="17" bestFit="1" customWidth="1"/>
    <col min="86" max="86" width="7.5703125" style="17" bestFit="1" customWidth="1"/>
    <col min="87" max="87" width="6.5703125" style="17" bestFit="1" customWidth="1"/>
    <col min="88" max="88" width="7.5703125" style="17" bestFit="1" customWidth="1"/>
    <col min="89" max="89" width="6.5703125" style="17" bestFit="1" customWidth="1"/>
    <col min="90" max="16384" width="10.7109375" style="17"/>
  </cols>
  <sheetData>
    <row r="1" spans="1:218" s="144" customFormat="1" ht="15" customHeight="1" x14ac:dyDescent="0.2">
      <c r="A1" s="139"/>
      <c r="B1" s="140"/>
      <c r="C1" s="140"/>
      <c r="D1" s="140"/>
      <c r="E1" s="140"/>
      <c r="F1" s="141"/>
      <c r="G1" s="598"/>
      <c r="H1" s="140"/>
      <c r="I1" s="140"/>
      <c r="J1" s="598"/>
      <c r="K1" s="598"/>
      <c r="L1" s="598"/>
      <c r="M1" s="598"/>
      <c r="N1" s="598"/>
      <c r="O1" s="598"/>
      <c r="P1" s="598"/>
      <c r="Q1" s="598"/>
      <c r="R1" s="598"/>
      <c r="S1" s="598"/>
      <c r="T1" s="598"/>
      <c r="U1" s="598"/>
      <c r="V1" s="598"/>
      <c r="W1" s="598"/>
      <c r="X1" s="598"/>
      <c r="Y1" s="598"/>
      <c r="Z1" s="598"/>
      <c r="AA1" s="598"/>
      <c r="AB1" s="598"/>
      <c r="AC1" s="598"/>
      <c r="AD1" s="598"/>
      <c r="AE1" s="598"/>
      <c r="AF1" s="598"/>
      <c r="AG1" s="598"/>
      <c r="AH1" s="598"/>
      <c r="AI1" s="598"/>
      <c r="AJ1" s="598"/>
      <c r="AK1" s="598"/>
      <c r="AL1" s="598"/>
      <c r="AM1" s="598"/>
      <c r="AN1" s="598"/>
      <c r="AO1" s="598"/>
      <c r="AP1" s="598"/>
      <c r="AQ1" s="598"/>
      <c r="AR1" s="598"/>
      <c r="AS1" s="143"/>
      <c r="AT1" s="598"/>
      <c r="AU1" s="143"/>
      <c r="AV1" s="598"/>
      <c r="AW1" s="143"/>
      <c r="AX1" s="598"/>
      <c r="AY1" s="143"/>
      <c r="AZ1" s="598"/>
      <c r="BA1" s="143"/>
      <c r="BB1" s="598"/>
      <c r="BC1" s="143"/>
      <c r="BD1" s="598"/>
      <c r="BE1" s="143"/>
      <c r="BF1" s="598"/>
      <c r="BG1" s="143"/>
      <c r="BH1" s="598"/>
      <c r="BI1" s="143"/>
      <c r="BJ1" s="598"/>
      <c r="BK1" s="143"/>
      <c r="BL1" s="598"/>
      <c r="BM1" s="143"/>
      <c r="BN1" s="598"/>
      <c r="BO1" s="143"/>
      <c r="BP1" s="598"/>
      <c r="BQ1" s="143"/>
      <c r="BR1" s="598"/>
      <c r="BS1" s="143"/>
      <c r="BT1" s="598"/>
      <c r="BU1" s="143"/>
      <c r="BV1" s="598"/>
      <c r="BW1" s="143"/>
      <c r="BX1" s="598"/>
      <c r="BY1" s="143"/>
      <c r="BZ1" s="141"/>
      <c r="CA1" s="141"/>
      <c r="CB1" s="598" t="s">
        <v>3</v>
      </c>
      <c r="CC1" s="143"/>
      <c r="CD1" s="140" t="s">
        <v>3</v>
      </c>
      <c r="CE1" s="140"/>
      <c r="CF1" s="140" t="s">
        <v>3</v>
      </c>
      <c r="CG1" s="140"/>
      <c r="CH1" s="140" t="s">
        <v>3</v>
      </c>
      <c r="CI1" s="140"/>
      <c r="CJ1" s="140" t="s">
        <v>3</v>
      </c>
      <c r="CK1" s="143"/>
      <c r="CL1" s="140"/>
      <c r="CM1" s="140"/>
      <c r="CN1" s="140"/>
      <c r="CO1" s="139"/>
      <c r="CP1" s="139"/>
      <c r="CQ1" s="598"/>
      <c r="CR1" s="143"/>
      <c r="CS1" s="598"/>
      <c r="CT1" s="143"/>
      <c r="CU1" s="598"/>
      <c r="CV1" s="143"/>
      <c r="CW1" s="598"/>
      <c r="CX1" s="143"/>
      <c r="CY1" s="598"/>
      <c r="CZ1" s="143"/>
      <c r="DA1" s="598"/>
      <c r="DB1" s="143"/>
      <c r="DC1" s="598"/>
      <c r="DD1" s="143"/>
      <c r="DE1" s="598"/>
      <c r="DF1" s="143"/>
      <c r="DG1" s="598"/>
      <c r="DH1" s="143"/>
      <c r="DI1" s="598"/>
      <c r="DJ1" s="143"/>
      <c r="DK1" s="598"/>
      <c r="DL1" s="143"/>
      <c r="DM1" s="598"/>
      <c r="DN1" s="143"/>
      <c r="DO1" s="598"/>
      <c r="DP1" s="143"/>
      <c r="DQ1" s="598"/>
      <c r="DR1" s="143"/>
      <c r="DS1" s="598"/>
      <c r="DT1" s="143"/>
      <c r="DU1" s="598"/>
      <c r="DV1" s="143"/>
      <c r="DW1" s="598"/>
      <c r="DX1" s="143"/>
      <c r="DY1" s="598"/>
      <c r="DZ1" s="143"/>
      <c r="EA1" s="598"/>
      <c r="EB1" s="143"/>
      <c r="EC1" s="598"/>
      <c r="ED1" s="143"/>
      <c r="EE1" s="141"/>
      <c r="EF1" s="141"/>
      <c r="EG1" s="598"/>
      <c r="EH1" s="143"/>
      <c r="EI1" s="140"/>
      <c r="EJ1" s="140"/>
      <c r="EK1" s="140"/>
      <c r="EL1" s="140"/>
      <c r="EM1" s="140"/>
      <c r="EN1" s="143"/>
      <c r="EO1" s="140"/>
      <c r="EP1" s="143"/>
      <c r="EQ1" s="140"/>
      <c r="ER1" s="140"/>
      <c r="ES1" s="140"/>
      <c r="ET1" s="139"/>
      <c r="EU1" s="139"/>
      <c r="EV1" s="598"/>
      <c r="EW1" s="143"/>
      <c r="EX1" s="598"/>
      <c r="EY1" s="143"/>
      <c r="EZ1" s="598"/>
      <c r="FA1" s="143"/>
      <c r="FB1" s="598"/>
      <c r="FC1" s="143"/>
      <c r="FD1" s="598"/>
      <c r="FE1" s="143"/>
      <c r="FF1" s="598"/>
      <c r="FG1" s="143"/>
      <c r="FH1" s="598"/>
      <c r="FI1" s="143"/>
      <c r="FJ1" s="598"/>
      <c r="FK1" s="143"/>
      <c r="FL1" s="598"/>
      <c r="FM1" s="143"/>
      <c r="FN1" s="598"/>
      <c r="FO1" s="143"/>
      <c r="FP1" s="598"/>
      <c r="FQ1" s="143"/>
      <c r="FR1" s="598"/>
      <c r="FS1" s="143"/>
      <c r="FT1" s="598"/>
      <c r="FU1" s="143"/>
      <c r="FV1" s="598"/>
      <c r="FW1" s="143"/>
      <c r="FX1" s="598"/>
      <c r="FY1" s="143"/>
      <c r="FZ1" s="598"/>
      <c r="GA1" s="143"/>
      <c r="GB1" s="598"/>
      <c r="GC1" s="143"/>
      <c r="GD1" s="598"/>
      <c r="GE1" s="143"/>
      <c r="GF1" s="598"/>
      <c r="GG1" s="143"/>
      <c r="GH1" s="598"/>
      <c r="GI1" s="143"/>
      <c r="GJ1" s="141"/>
      <c r="GK1" s="141"/>
      <c r="GL1" s="598"/>
      <c r="GM1" s="143"/>
      <c r="GN1" s="140"/>
      <c r="GO1" s="140"/>
      <c r="GP1" s="140"/>
      <c r="GQ1" s="140"/>
      <c r="GR1" s="140"/>
      <c r="GS1" s="143"/>
      <c r="GT1" s="140"/>
      <c r="GU1" s="143"/>
      <c r="GV1" s="140"/>
      <c r="GW1" s="140"/>
      <c r="GX1" s="140"/>
      <c r="GY1" s="139"/>
      <c r="GZ1" s="139"/>
      <c r="HA1" s="598"/>
      <c r="HB1" s="143"/>
      <c r="HC1" s="598"/>
      <c r="HD1" s="143"/>
      <c r="HE1" s="598"/>
      <c r="HF1" s="143"/>
      <c r="HG1" s="598"/>
      <c r="HH1" s="143"/>
      <c r="HI1" s="598"/>
      <c r="HJ1" s="143"/>
    </row>
    <row r="2" spans="1:218" s="144" customFormat="1" ht="15" customHeight="1" x14ac:dyDescent="0.2">
      <c r="A2" s="139"/>
      <c r="B2" s="140"/>
      <c r="C2" s="140"/>
      <c r="D2" s="140"/>
      <c r="E2" s="140"/>
      <c r="F2" s="141"/>
      <c r="G2" s="598"/>
      <c r="H2" s="140"/>
      <c r="I2" s="140"/>
      <c r="J2" s="598"/>
      <c r="K2" s="598"/>
      <c r="L2" s="598"/>
      <c r="M2" s="598"/>
      <c r="N2" s="598"/>
      <c r="O2" s="598"/>
      <c r="P2" s="598"/>
      <c r="Q2" s="598"/>
      <c r="R2" s="598"/>
      <c r="S2" s="598"/>
      <c r="T2" s="598"/>
      <c r="U2" s="598"/>
      <c r="V2" s="598"/>
      <c r="W2" s="598"/>
      <c r="X2" s="598"/>
      <c r="Y2" s="598"/>
      <c r="Z2" s="598"/>
      <c r="AA2" s="598"/>
      <c r="AB2" s="598"/>
      <c r="AC2" s="598"/>
      <c r="AD2" s="598"/>
      <c r="AE2" s="598"/>
      <c r="AF2" s="598"/>
      <c r="AG2" s="598"/>
      <c r="AH2" s="598"/>
      <c r="AI2" s="598"/>
      <c r="AJ2" s="598"/>
      <c r="AK2" s="598"/>
      <c r="AL2" s="598"/>
      <c r="AM2" s="598"/>
      <c r="AN2" s="598"/>
      <c r="AO2" s="598"/>
      <c r="AP2" s="598"/>
      <c r="AQ2" s="598"/>
      <c r="AR2" s="598"/>
      <c r="AS2" s="143"/>
      <c r="AT2" s="598"/>
      <c r="AU2" s="143"/>
      <c r="AV2" s="598"/>
      <c r="AW2" s="143"/>
      <c r="AX2" s="598"/>
      <c r="AY2" s="143"/>
      <c r="AZ2" s="598"/>
      <c r="BA2" s="143"/>
      <c r="BB2" s="598"/>
      <c r="BC2" s="143"/>
      <c r="BD2" s="598"/>
      <c r="BE2" s="143"/>
      <c r="BF2" s="598"/>
      <c r="BG2" s="143"/>
      <c r="BH2" s="598"/>
      <c r="BI2" s="143"/>
      <c r="BJ2" s="598"/>
      <c r="BK2" s="143"/>
      <c r="BL2" s="598"/>
      <c r="BM2" s="143"/>
      <c r="BN2" s="598"/>
      <c r="BO2" s="143"/>
      <c r="BP2" s="598"/>
      <c r="BQ2" s="143"/>
      <c r="BR2" s="598"/>
      <c r="BS2" s="143"/>
      <c r="BT2" s="598"/>
      <c r="BU2" s="143"/>
      <c r="BV2" s="598"/>
      <c r="BW2" s="143"/>
      <c r="BX2" s="598"/>
      <c r="BY2" s="143"/>
      <c r="BZ2" s="141"/>
      <c r="CA2" s="141"/>
      <c r="CB2" s="598"/>
      <c r="CC2" s="143"/>
      <c r="CD2" s="140"/>
      <c r="CE2" s="140"/>
      <c r="CF2" s="140"/>
      <c r="CG2" s="140"/>
      <c r="CH2" s="140"/>
      <c r="CI2" s="140"/>
      <c r="CJ2" s="140"/>
      <c r="CK2" s="143"/>
      <c r="CL2" s="140"/>
      <c r="CM2" s="140"/>
      <c r="CN2" s="140"/>
      <c r="CO2" s="139"/>
      <c r="CP2" s="139"/>
      <c r="CQ2" s="598"/>
      <c r="CR2" s="143"/>
      <c r="CS2" s="598"/>
      <c r="CT2" s="143"/>
      <c r="CU2" s="598"/>
      <c r="CV2" s="143"/>
      <c r="CW2" s="598"/>
      <c r="CX2" s="143"/>
      <c r="CY2" s="598"/>
      <c r="CZ2" s="143"/>
      <c r="DA2" s="598"/>
      <c r="DB2" s="143"/>
      <c r="DC2" s="598"/>
      <c r="DD2" s="143"/>
      <c r="DE2" s="598"/>
      <c r="DF2" s="143"/>
      <c r="DG2" s="598"/>
      <c r="DH2" s="143"/>
      <c r="DI2" s="598"/>
      <c r="DJ2" s="143"/>
      <c r="DK2" s="598"/>
      <c r="DL2" s="143"/>
      <c r="DM2" s="598"/>
      <c r="DN2" s="143"/>
      <c r="DO2" s="598"/>
      <c r="DP2" s="143"/>
      <c r="DQ2" s="598"/>
      <c r="DR2" s="143"/>
      <c r="DS2" s="598"/>
      <c r="DT2" s="143"/>
      <c r="DU2" s="598"/>
      <c r="DV2" s="143"/>
      <c r="DW2" s="598"/>
      <c r="DX2" s="143"/>
      <c r="DY2" s="598"/>
      <c r="DZ2" s="143"/>
      <c r="EA2" s="598"/>
      <c r="EB2" s="143"/>
      <c r="EC2" s="598"/>
      <c r="ED2" s="143"/>
      <c r="EE2" s="141"/>
      <c r="EF2" s="141"/>
      <c r="EG2" s="598"/>
      <c r="EH2" s="143"/>
      <c r="EI2" s="140"/>
      <c r="EJ2" s="140"/>
      <c r="EK2" s="140"/>
      <c r="EL2" s="140"/>
      <c r="EM2" s="140"/>
      <c r="EN2" s="143"/>
      <c r="EO2" s="140"/>
      <c r="EP2" s="143"/>
      <c r="EQ2" s="140"/>
      <c r="ER2" s="140"/>
      <c r="ES2" s="140"/>
      <c r="ET2" s="139"/>
      <c r="EU2" s="139"/>
      <c r="EV2" s="598"/>
      <c r="EW2" s="143"/>
      <c r="EX2" s="598"/>
      <c r="EY2" s="143"/>
      <c r="EZ2" s="598"/>
      <c r="FA2" s="143"/>
      <c r="FB2" s="598"/>
      <c r="FC2" s="143"/>
      <c r="FD2" s="598"/>
      <c r="FE2" s="143"/>
      <c r="FF2" s="598"/>
      <c r="FG2" s="143"/>
      <c r="FH2" s="598"/>
      <c r="FI2" s="143"/>
      <c r="FJ2" s="598"/>
      <c r="FK2" s="143"/>
      <c r="FL2" s="598"/>
      <c r="FM2" s="143"/>
      <c r="FN2" s="598"/>
      <c r="FO2" s="143"/>
      <c r="FP2" s="598"/>
      <c r="FQ2" s="143"/>
      <c r="FR2" s="598"/>
      <c r="FS2" s="143"/>
      <c r="FT2" s="598"/>
      <c r="FU2" s="143"/>
      <c r="FV2" s="598"/>
      <c r="FW2" s="143"/>
      <c r="FX2" s="598"/>
      <c r="FY2" s="143"/>
      <c r="FZ2" s="598"/>
      <c r="GA2" s="143"/>
      <c r="GB2" s="598"/>
      <c r="GC2" s="143"/>
      <c r="GD2" s="598"/>
      <c r="GE2" s="143"/>
      <c r="GF2" s="598"/>
      <c r="GG2" s="143"/>
      <c r="GH2" s="598"/>
      <c r="GI2" s="143"/>
      <c r="GJ2" s="141"/>
      <c r="GK2" s="141"/>
      <c r="GL2" s="598"/>
      <c r="GM2" s="143"/>
      <c r="GN2" s="140"/>
      <c r="GO2" s="140"/>
      <c r="GP2" s="140"/>
      <c r="GQ2" s="140"/>
      <c r="GR2" s="140"/>
      <c r="GS2" s="143"/>
      <c r="GT2" s="140"/>
      <c r="GU2" s="143"/>
      <c r="GV2" s="140"/>
      <c r="GW2" s="140"/>
      <c r="GX2" s="140"/>
      <c r="GY2" s="139"/>
      <c r="GZ2" s="139"/>
      <c r="HA2" s="598"/>
      <c r="HB2" s="143"/>
      <c r="HC2" s="598"/>
      <c r="HD2" s="143"/>
      <c r="HE2" s="598"/>
      <c r="HF2" s="143"/>
      <c r="HG2" s="598"/>
      <c r="HH2" s="143"/>
      <c r="HI2" s="598"/>
      <c r="HJ2" s="143"/>
    </row>
    <row r="3" spans="1:218" s="144" customFormat="1" ht="15" customHeight="1" x14ac:dyDescent="0.2">
      <c r="A3" s="139"/>
      <c r="B3" s="140"/>
      <c r="C3" s="140"/>
      <c r="D3" s="140"/>
      <c r="E3" s="140"/>
      <c r="F3" s="141"/>
      <c r="G3" s="598"/>
      <c r="H3" s="140"/>
      <c r="I3" s="140"/>
      <c r="J3" s="598"/>
      <c r="K3" s="598"/>
      <c r="L3" s="598"/>
      <c r="M3" s="598"/>
      <c r="N3" s="598"/>
      <c r="O3" s="598"/>
      <c r="P3" s="598"/>
      <c r="Q3" s="598"/>
      <c r="R3" s="598"/>
      <c r="S3" s="598"/>
      <c r="T3" s="598"/>
      <c r="U3" s="598"/>
      <c r="V3" s="598"/>
      <c r="W3" s="598"/>
      <c r="X3" s="598"/>
      <c r="Y3" s="598"/>
      <c r="Z3" s="598"/>
      <c r="AA3" s="598"/>
      <c r="AB3" s="598"/>
      <c r="AC3" s="598"/>
      <c r="AD3" s="598"/>
      <c r="AE3" s="598"/>
      <c r="AF3" s="598"/>
      <c r="AG3" s="598"/>
      <c r="AH3" s="598"/>
      <c r="AI3" s="598"/>
      <c r="AJ3" s="598"/>
      <c r="AK3" s="598"/>
      <c r="AL3" s="598"/>
      <c r="AM3" s="598"/>
      <c r="AN3" s="598"/>
      <c r="AO3" s="598"/>
      <c r="AP3" s="598"/>
      <c r="AQ3" s="598"/>
      <c r="AR3" s="598"/>
      <c r="AS3" s="143"/>
      <c r="AT3" s="598"/>
      <c r="AU3" s="143"/>
      <c r="AV3" s="598"/>
      <c r="AW3" s="143"/>
      <c r="AX3" s="598"/>
      <c r="AY3" s="143"/>
      <c r="AZ3" s="598"/>
      <c r="BA3" s="143"/>
      <c r="BB3" s="598"/>
      <c r="BC3" s="143"/>
      <c r="BD3" s="598"/>
      <c r="BE3" s="143"/>
      <c r="BF3" s="598"/>
      <c r="BG3" s="143"/>
      <c r="BH3" s="598"/>
      <c r="BI3" s="143"/>
      <c r="BJ3" s="598"/>
      <c r="BK3" s="143"/>
      <c r="BL3" s="598"/>
      <c r="BM3" s="143"/>
      <c r="BN3" s="598"/>
      <c r="BO3" s="143"/>
      <c r="BP3" s="598"/>
      <c r="BQ3" s="143"/>
      <c r="BR3" s="598"/>
      <c r="BS3" s="143"/>
      <c r="BT3" s="598"/>
      <c r="BU3" s="143"/>
      <c r="BV3" s="598"/>
      <c r="BW3" s="143"/>
      <c r="BX3" s="598"/>
      <c r="BY3" s="143"/>
      <c r="BZ3" s="141"/>
      <c r="CA3" s="141"/>
      <c r="CB3" s="598"/>
      <c r="CC3" s="143"/>
      <c r="CD3" s="140"/>
      <c r="CE3" s="140"/>
      <c r="CF3" s="140"/>
      <c r="CG3" s="140"/>
      <c r="CH3" s="140"/>
      <c r="CI3" s="140"/>
      <c r="CJ3" s="140"/>
      <c r="CK3" s="143"/>
      <c r="CL3" s="140"/>
      <c r="CM3" s="140"/>
      <c r="CN3" s="140"/>
      <c r="CO3" s="139"/>
      <c r="CP3" s="139"/>
      <c r="CQ3" s="598"/>
      <c r="CR3" s="143"/>
      <c r="CS3" s="598"/>
      <c r="CT3" s="143"/>
      <c r="CU3" s="598"/>
      <c r="CV3" s="143"/>
      <c r="CW3" s="598"/>
      <c r="CX3" s="143"/>
      <c r="CY3" s="598"/>
      <c r="CZ3" s="143"/>
      <c r="DA3" s="598"/>
      <c r="DB3" s="143"/>
      <c r="DC3" s="598"/>
      <c r="DD3" s="143"/>
      <c r="DE3" s="598"/>
      <c r="DF3" s="143"/>
      <c r="DG3" s="598"/>
      <c r="DH3" s="143"/>
      <c r="DI3" s="598"/>
      <c r="DJ3" s="143"/>
      <c r="DK3" s="598"/>
      <c r="DL3" s="143"/>
      <c r="DM3" s="598"/>
      <c r="DN3" s="143"/>
      <c r="DO3" s="598"/>
      <c r="DP3" s="143"/>
      <c r="DQ3" s="598"/>
      <c r="DR3" s="143"/>
      <c r="DS3" s="598"/>
      <c r="DT3" s="143"/>
      <c r="DU3" s="598"/>
      <c r="DV3" s="143"/>
      <c r="DW3" s="598"/>
      <c r="DX3" s="143"/>
      <c r="DY3" s="598"/>
      <c r="DZ3" s="143"/>
      <c r="EA3" s="598"/>
      <c r="EB3" s="143"/>
      <c r="EC3" s="598"/>
      <c r="ED3" s="143"/>
      <c r="EE3" s="141"/>
      <c r="EF3" s="141"/>
      <c r="EG3" s="598"/>
      <c r="EH3" s="143"/>
      <c r="EI3" s="140"/>
      <c r="EJ3" s="140"/>
      <c r="EK3" s="140"/>
      <c r="EL3" s="140"/>
      <c r="EM3" s="140"/>
      <c r="EN3" s="143"/>
      <c r="EO3" s="140"/>
      <c r="EP3" s="143"/>
      <c r="EQ3" s="140"/>
      <c r="ER3" s="140"/>
      <c r="ES3" s="140"/>
      <c r="ET3" s="139"/>
      <c r="EU3" s="139"/>
      <c r="EV3" s="598"/>
      <c r="EW3" s="143"/>
      <c r="EX3" s="598"/>
      <c r="EY3" s="143"/>
      <c r="EZ3" s="598"/>
      <c r="FA3" s="143"/>
      <c r="FB3" s="598"/>
      <c r="FC3" s="143"/>
      <c r="FD3" s="598"/>
      <c r="FE3" s="143"/>
      <c r="FF3" s="598"/>
      <c r="FG3" s="143"/>
      <c r="FH3" s="598"/>
      <c r="FI3" s="143"/>
      <c r="FJ3" s="598"/>
      <c r="FK3" s="143"/>
      <c r="FL3" s="598"/>
      <c r="FM3" s="143"/>
      <c r="FN3" s="598"/>
      <c r="FO3" s="143"/>
      <c r="FP3" s="598"/>
      <c r="FQ3" s="143"/>
      <c r="FR3" s="598"/>
      <c r="FS3" s="143"/>
      <c r="FT3" s="598"/>
      <c r="FU3" s="143"/>
      <c r="FV3" s="598"/>
      <c r="FW3" s="143"/>
      <c r="FX3" s="598"/>
      <c r="FY3" s="143"/>
      <c r="FZ3" s="598"/>
      <c r="GA3" s="143"/>
      <c r="GB3" s="598"/>
      <c r="GC3" s="143"/>
      <c r="GD3" s="598"/>
      <c r="GE3" s="143"/>
      <c r="GF3" s="598"/>
      <c r="GG3" s="143"/>
      <c r="GH3" s="598"/>
      <c r="GI3" s="143"/>
      <c r="GJ3" s="141"/>
      <c r="GK3" s="141"/>
      <c r="GL3" s="598"/>
      <c r="GM3" s="143"/>
      <c r="GN3" s="140"/>
      <c r="GO3" s="140"/>
      <c r="GP3" s="140"/>
      <c r="GQ3" s="140"/>
      <c r="GR3" s="140"/>
      <c r="GS3" s="143"/>
      <c r="GT3" s="140"/>
      <c r="GU3" s="143"/>
      <c r="GV3" s="140"/>
      <c r="GW3" s="140"/>
      <c r="GX3" s="140"/>
      <c r="GY3" s="139"/>
      <c r="GZ3" s="139"/>
      <c r="HA3" s="598"/>
      <c r="HB3" s="143"/>
      <c r="HC3" s="598"/>
      <c r="HD3" s="143"/>
      <c r="HE3" s="598"/>
      <c r="HF3" s="143"/>
      <c r="HG3" s="598"/>
      <c r="HH3" s="143"/>
      <c r="HI3" s="598"/>
      <c r="HJ3" s="143"/>
    </row>
    <row r="4" spans="1:218" s="144" customFormat="1" ht="15" customHeight="1" x14ac:dyDescent="0.2">
      <c r="A4" s="145"/>
      <c r="B4" s="146"/>
      <c r="C4" s="146"/>
      <c r="D4" s="146"/>
      <c r="E4" s="146"/>
      <c r="F4" s="147"/>
      <c r="G4" s="604"/>
      <c r="H4" s="146"/>
      <c r="I4" s="146"/>
      <c r="J4" s="604"/>
      <c r="K4" s="604"/>
      <c r="L4" s="604"/>
      <c r="M4" s="604"/>
      <c r="N4" s="604"/>
      <c r="O4" s="604"/>
      <c r="P4" s="604"/>
      <c r="Q4" s="604"/>
      <c r="R4" s="604"/>
      <c r="S4" s="604"/>
      <c r="T4" s="604"/>
      <c r="U4" s="604"/>
      <c r="V4" s="604"/>
      <c r="W4" s="604"/>
      <c r="X4" s="604"/>
      <c r="Y4" s="604"/>
      <c r="Z4" s="604"/>
      <c r="AA4" s="604"/>
      <c r="AB4" s="604"/>
      <c r="AC4" s="604"/>
      <c r="AD4" s="604"/>
      <c r="AE4" s="604"/>
      <c r="AF4" s="604"/>
      <c r="AG4" s="604"/>
      <c r="AH4" s="149"/>
      <c r="AI4" s="149"/>
      <c r="AJ4" s="149"/>
      <c r="AK4" s="150"/>
      <c r="AL4" s="150"/>
      <c r="AM4" s="150"/>
      <c r="AN4" s="150"/>
      <c r="AO4" s="150"/>
      <c r="AP4" s="150"/>
      <c r="AQ4" s="150"/>
      <c r="AR4" s="150"/>
    </row>
    <row r="5" spans="1:218" s="25" customFormat="1" ht="15" customHeight="1" thickBot="1" x14ac:dyDescent="0.35">
      <c r="A5" s="190" t="s">
        <v>475</v>
      </c>
      <c r="B5" s="61"/>
      <c r="C5" s="59"/>
      <c r="D5" s="61"/>
      <c r="E5" s="59"/>
      <c r="F5" s="114"/>
      <c r="G5" s="59"/>
      <c r="H5" s="692"/>
      <c r="I5" s="59"/>
      <c r="J5" s="59"/>
      <c r="K5" s="59"/>
      <c r="L5" s="59"/>
      <c r="M5" s="59"/>
      <c r="N5" s="59"/>
      <c r="O5" s="59"/>
      <c r="P5" s="59"/>
      <c r="Q5" s="59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59"/>
      <c r="BR5" s="59"/>
      <c r="BS5" s="59"/>
      <c r="BT5" s="59"/>
      <c r="BU5" s="59"/>
      <c r="BW5" s="114"/>
      <c r="CA5" s="114"/>
      <c r="CC5" s="134"/>
      <c r="CE5" s="134"/>
      <c r="CG5" s="134"/>
      <c r="CI5" s="134"/>
      <c r="CK5" s="134"/>
      <c r="CL5" s="194"/>
      <c r="CM5" s="194"/>
      <c r="CN5" s="194"/>
      <c r="CO5" s="198"/>
      <c r="CP5" s="198"/>
      <c r="CQ5" s="198"/>
      <c r="CR5" s="198"/>
      <c r="CS5" s="198"/>
      <c r="CT5" s="198"/>
    </row>
    <row r="6" spans="1:218" ht="15" customHeight="1" thickTop="1" x14ac:dyDescent="0.3">
      <c r="A6" s="202"/>
      <c r="C6" s="18"/>
      <c r="D6" s="114"/>
      <c r="E6" s="18"/>
      <c r="F6" s="114"/>
      <c r="G6" s="18"/>
      <c r="H6" s="665"/>
      <c r="I6" s="18"/>
      <c r="J6" s="18"/>
      <c r="K6" s="18"/>
      <c r="L6" s="18"/>
      <c r="M6" s="18"/>
      <c r="N6" s="18"/>
      <c r="O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59"/>
      <c r="AQ6" s="59"/>
      <c r="AR6" s="59"/>
      <c r="AS6" s="59"/>
      <c r="AT6" s="59"/>
      <c r="AU6" s="59"/>
      <c r="AV6" s="59"/>
      <c r="AW6" s="59"/>
      <c r="BW6" s="114"/>
      <c r="CA6" s="114"/>
      <c r="CC6" s="204"/>
      <c r="CE6" s="400"/>
      <c r="CG6" s="400"/>
      <c r="CI6" s="400"/>
      <c r="CK6" s="400" t="s">
        <v>662</v>
      </c>
    </row>
    <row r="7" spans="1:218" s="183" customFormat="1" ht="15" customHeight="1" x14ac:dyDescent="0.2">
      <c r="A7" s="382"/>
      <c r="B7" s="156" t="s">
        <v>35</v>
      </c>
      <c r="C7" s="156" t="s">
        <v>31</v>
      </c>
      <c r="D7" s="156" t="s">
        <v>36</v>
      </c>
      <c r="E7" s="156" t="s">
        <v>31</v>
      </c>
      <c r="F7" s="156" t="s">
        <v>321</v>
      </c>
      <c r="G7" s="156" t="s">
        <v>31</v>
      </c>
      <c r="H7" s="156" t="s">
        <v>331</v>
      </c>
      <c r="I7" s="156" t="s">
        <v>31</v>
      </c>
      <c r="J7" s="156" t="s">
        <v>37</v>
      </c>
      <c r="K7" s="156" t="s">
        <v>31</v>
      </c>
      <c r="L7" s="156" t="s">
        <v>38</v>
      </c>
      <c r="M7" s="156" t="s">
        <v>31</v>
      </c>
      <c r="N7" s="156" t="s">
        <v>322</v>
      </c>
      <c r="O7" s="156" t="s">
        <v>31</v>
      </c>
      <c r="P7" s="156" t="s">
        <v>332</v>
      </c>
      <c r="Q7" s="156" t="s">
        <v>31</v>
      </c>
      <c r="R7" s="156" t="s">
        <v>39</v>
      </c>
      <c r="S7" s="156" t="s">
        <v>31</v>
      </c>
      <c r="T7" s="156" t="s">
        <v>40</v>
      </c>
      <c r="U7" s="156" t="s">
        <v>31</v>
      </c>
      <c r="V7" s="156" t="s">
        <v>323</v>
      </c>
      <c r="W7" s="156" t="s">
        <v>31</v>
      </c>
      <c r="X7" s="156" t="s">
        <v>333</v>
      </c>
      <c r="Y7" s="156" t="s">
        <v>31</v>
      </c>
      <c r="Z7" s="156" t="s">
        <v>41</v>
      </c>
      <c r="AA7" s="156" t="s">
        <v>31</v>
      </c>
      <c r="AB7" s="156" t="s">
        <v>42</v>
      </c>
      <c r="AC7" s="156" t="s">
        <v>31</v>
      </c>
      <c r="AD7" s="156" t="s">
        <v>324</v>
      </c>
      <c r="AE7" s="156" t="s">
        <v>31</v>
      </c>
      <c r="AF7" s="156" t="s">
        <v>334</v>
      </c>
      <c r="AG7" s="156" t="s">
        <v>31</v>
      </c>
      <c r="AH7" s="156" t="s">
        <v>43</v>
      </c>
      <c r="AI7" s="156" t="s">
        <v>31</v>
      </c>
      <c r="AJ7" s="156" t="s">
        <v>44</v>
      </c>
      <c r="AK7" s="156" t="s">
        <v>31</v>
      </c>
      <c r="AL7" s="156" t="s">
        <v>325</v>
      </c>
      <c r="AM7" s="156" t="s">
        <v>31</v>
      </c>
      <c r="AN7" s="156" t="s">
        <v>335</v>
      </c>
      <c r="AO7" s="156" t="s">
        <v>31</v>
      </c>
      <c r="AP7" s="156" t="s">
        <v>45</v>
      </c>
      <c r="AQ7" s="156" t="s">
        <v>31</v>
      </c>
      <c r="AR7" s="156" t="s">
        <v>46</v>
      </c>
      <c r="AS7" s="156" t="s">
        <v>31</v>
      </c>
      <c r="AT7" s="156" t="s">
        <v>326</v>
      </c>
      <c r="AU7" s="156" t="s">
        <v>31</v>
      </c>
      <c r="AV7" s="156" t="s">
        <v>336</v>
      </c>
      <c r="AW7" s="156" t="s">
        <v>31</v>
      </c>
      <c r="AX7" s="156" t="s">
        <v>47</v>
      </c>
      <c r="AY7" s="156" t="s">
        <v>31</v>
      </c>
      <c r="AZ7" s="156" t="s">
        <v>48</v>
      </c>
      <c r="BA7" s="156" t="s">
        <v>31</v>
      </c>
      <c r="BB7" s="156" t="s">
        <v>327</v>
      </c>
      <c r="BC7" s="156" t="s">
        <v>31</v>
      </c>
      <c r="BD7" s="156" t="s">
        <v>337</v>
      </c>
      <c r="BE7" s="156" t="s">
        <v>31</v>
      </c>
      <c r="BF7" s="156" t="s">
        <v>49</v>
      </c>
      <c r="BG7" s="156" t="s">
        <v>31</v>
      </c>
      <c r="BH7" s="156" t="s">
        <v>50</v>
      </c>
      <c r="BI7" s="156" t="s">
        <v>31</v>
      </c>
      <c r="BJ7" s="156" t="s">
        <v>328</v>
      </c>
      <c r="BK7" s="156" t="s">
        <v>31</v>
      </c>
      <c r="BL7" s="156" t="s">
        <v>338</v>
      </c>
      <c r="BM7" s="156" t="s">
        <v>31</v>
      </c>
      <c r="BN7" s="156" t="s">
        <v>51</v>
      </c>
      <c r="BO7" s="156" t="s">
        <v>31</v>
      </c>
      <c r="BP7" s="156" t="s">
        <v>52</v>
      </c>
      <c r="BQ7" s="156" t="s">
        <v>31</v>
      </c>
      <c r="BR7" s="156" t="s">
        <v>329</v>
      </c>
      <c r="BS7" s="156" t="s">
        <v>31</v>
      </c>
      <c r="BT7" s="156" t="s">
        <v>339</v>
      </c>
      <c r="BU7" s="156" t="s">
        <v>31</v>
      </c>
      <c r="BV7" s="156" t="s">
        <v>53</v>
      </c>
      <c r="BW7" s="156" t="s">
        <v>31</v>
      </c>
      <c r="BX7" s="156" t="s">
        <v>54</v>
      </c>
      <c r="BY7" s="156" t="s">
        <v>31</v>
      </c>
      <c r="BZ7" s="156" t="s">
        <v>330</v>
      </c>
      <c r="CA7" s="156" t="s">
        <v>31</v>
      </c>
      <c r="CB7" s="156" t="s">
        <v>340</v>
      </c>
      <c r="CC7" s="156" t="s">
        <v>31</v>
      </c>
      <c r="CD7" s="401" t="s">
        <v>71</v>
      </c>
      <c r="CE7" s="401" t="s">
        <v>31</v>
      </c>
      <c r="CF7" s="591" t="s">
        <v>374</v>
      </c>
      <c r="CG7" s="591" t="s">
        <v>31</v>
      </c>
      <c r="CH7" s="664" t="s">
        <v>376</v>
      </c>
      <c r="CI7" s="664" t="s">
        <v>31</v>
      </c>
      <c r="CJ7" s="664" t="s">
        <v>399</v>
      </c>
      <c r="CK7" s="664" t="s">
        <v>31</v>
      </c>
    </row>
    <row r="8" spans="1:218" s="178" customFormat="1" ht="9.9499999999999993" customHeight="1" x14ac:dyDescent="0.2">
      <c r="A8" s="184"/>
      <c r="B8" s="158"/>
      <c r="C8" s="158"/>
      <c r="D8" s="158"/>
      <c r="E8" s="158"/>
      <c r="F8" s="158"/>
      <c r="G8" s="158"/>
      <c r="H8" s="158"/>
      <c r="I8" s="158"/>
      <c r="J8" s="158"/>
      <c r="K8" s="158"/>
      <c r="L8" s="158"/>
      <c r="M8" s="158"/>
      <c r="N8" s="158"/>
      <c r="O8" s="158"/>
      <c r="P8" s="158"/>
      <c r="Q8" s="158"/>
      <c r="R8" s="158"/>
      <c r="S8" s="158"/>
      <c r="T8" s="158"/>
      <c r="U8" s="158"/>
      <c r="V8" s="158"/>
      <c r="W8" s="158"/>
      <c r="X8" s="158"/>
      <c r="Y8" s="158"/>
      <c r="Z8" s="158"/>
      <c r="AA8" s="158"/>
      <c r="AB8" s="158"/>
      <c r="AC8" s="158"/>
      <c r="AD8" s="158"/>
      <c r="AE8" s="158"/>
      <c r="AF8" s="158"/>
      <c r="AG8" s="158"/>
      <c r="AH8" s="158"/>
      <c r="AI8" s="158"/>
      <c r="AJ8" s="158"/>
      <c r="AK8" s="158"/>
      <c r="AL8" s="158"/>
      <c r="AM8" s="158"/>
      <c r="AN8" s="158"/>
      <c r="AO8" s="158"/>
      <c r="AP8" s="158"/>
      <c r="AQ8" s="158"/>
      <c r="AR8" s="158"/>
      <c r="AS8" s="158"/>
      <c r="AT8" s="158"/>
      <c r="AU8" s="158"/>
      <c r="AV8" s="158"/>
      <c r="AW8" s="158"/>
      <c r="AX8" s="158"/>
      <c r="AY8" s="158"/>
      <c r="AZ8" s="158"/>
      <c r="BA8" s="158"/>
      <c r="BB8" s="158"/>
      <c r="BC8" s="158"/>
      <c r="BD8" s="158"/>
      <c r="BE8" s="158"/>
      <c r="BF8" s="158"/>
      <c r="BG8" s="158"/>
      <c r="BH8" s="158"/>
      <c r="BI8" s="158"/>
      <c r="BJ8" s="158"/>
      <c r="BK8" s="158"/>
      <c r="BL8" s="158"/>
      <c r="BM8" s="158"/>
      <c r="BN8" s="158"/>
      <c r="BO8" s="158"/>
      <c r="BP8" s="158"/>
      <c r="BQ8" s="158"/>
      <c r="BR8" s="158"/>
      <c r="BS8" s="158"/>
      <c r="BT8" s="158"/>
      <c r="BU8" s="158"/>
      <c r="BV8" s="158"/>
      <c r="BW8" s="158"/>
      <c r="BX8" s="158"/>
      <c r="BY8" s="158"/>
      <c r="BZ8" s="158"/>
      <c r="CA8" s="158"/>
      <c r="CB8" s="158"/>
      <c r="CC8" s="158"/>
      <c r="CD8" s="158"/>
      <c r="CE8" s="158"/>
      <c r="CF8" s="158"/>
      <c r="CG8" s="158"/>
      <c r="CH8" s="158"/>
      <c r="CI8" s="158"/>
      <c r="CJ8" s="158"/>
      <c r="CK8" s="158"/>
    </row>
    <row r="9" spans="1:218" s="178" customFormat="1" ht="5.0999999999999996" customHeight="1" x14ac:dyDescent="0.2">
      <c r="A9" s="203"/>
      <c r="B9" s="203"/>
      <c r="C9" s="203"/>
      <c r="D9" s="203"/>
      <c r="E9" s="203"/>
      <c r="F9" s="203"/>
      <c r="G9" s="203"/>
      <c r="H9" s="203"/>
      <c r="I9" s="203"/>
      <c r="J9" s="203"/>
      <c r="K9" s="203"/>
      <c r="L9" s="203"/>
      <c r="M9" s="203"/>
      <c r="N9" s="203"/>
      <c r="O9" s="203"/>
      <c r="P9" s="203"/>
      <c r="Q9" s="203"/>
      <c r="R9" s="203"/>
      <c r="S9" s="203"/>
      <c r="T9" s="203"/>
      <c r="U9" s="203"/>
      <c r="V9" s="203"/>
      <c r="W9" s="203"/>
      <c r="X9" s="203"/>
      <c r="Y9" s="203"/>
      <c r="Z9" s="203"/>
      <c r="AA9" s="203"/>
      <c r="AB9" s="203"/>
      <c r="AC9" s="203"/>
      <c r="AD9" s="203"/>
      <c r="AE9" s="203"/>
      <c r="AF9" s="203"/>
      <c r="AG9" s="203"/>
      <c r="AH9" s="203"/>
      <c r="AI9" s="203"/>
      <c r="AJ9" s="203"/>
      <c r="AK9" s="203"/>
      <c r="AL9" s="203"/>
      <c r="AM9" s="203"/>
      <c r="AN9" s="203"/>
      <c r="AO9" s="203"/>
      <c r="AP9" s="203"/>
      <c r="AQ9" s="203"/>
      <c r="AR9" s="203"/>
      <c r="AS9" s="203"/>
      <c r="AT9" s="203"/>
      <c r="AU9" s="203"/>
      <c r="AV9" s="203"/>
      <c r="AW9" s="203"/>
      <c r="AX9" s="203"/>
      <c r="AY9" s="203"/>
      <c r="AZ9" s="203"/>
      <c r="BA9" s="203"/>
      <c r="BB9" s="203"/>
      <c r="BC9" s="203"/>
      <c r="BD9" s="203"/>
      <c r="BE9" s="203"/>
      <c r="BF9" s="203"/>
      <c r="BG9" s="203"/>
      <c r="BH9" s="203"/>
      <c r="BI9" s="203"/>
      <c r="BJ9" s="203"/>
      <c r="BK9" s="203"/>
      <c r="BL9" s="203"/>
      <c r="BM9" s="203"/>
      <c r="BN9" s="203"/>
      <c r="BO9" s="203"/>
      <c r="BP9" s="203"/>
      <c r="BQ9" s="203"/>
      <c r="BR9" s="203"/>
      <c r="BS9" s="203"/>
      <c r="BT9" s="203"/>
      <c r="BU9" s="203"/>
      <c r="BV9" s="203"/>
      <c r="BW9" s="203"/>
      <c r="BX9" s="203"/>
      <c r="BY9" s="203"/>
      <c r="BZ9" s="203"/>
      <c r="CA9" s="203"/>
      <c r="CB9" s="203"/>
      <c r="CC9" s="203"/>
      <c r="CD9" s="203"/>
      <c r="CE9" s="203"/>
      <c r="CF9" s="203"/>
      <c r="CG9" s="203"/>
      <c r="CH9" s="203"/>
      <c r="CI9" s="203"/>
      <c r="CJ9" s="203"/>
      <c r="CK9" s="203"/>
    </row>
    <row r="10" spans="1:218" s="192" customFormat="1" ht="15" customHeight="1" x14ac:dyDescent="0.2">
      <c r="A10" s="434" t="s">
        <v>102</v>
      </c>
      <c r="B10" s="165">
        <v>1267</v>
      </c>
      <c r="C10" s="223">
        <v>1.2</v>
      </c>
      <c r="D10" s="165">
        <v>1134</v>
      </c>
      <c r="E10" s="223">
        <v>1</v>
      </c>
      <c r="F10" s="165">
        <v>756</v>
      </c>
      <c r="G10" s="223">
        <v>0.6</v>
      </c>
      <c r="H10" s="165">
        <v>917</v>
      </c>
      <c r="I10" s="223">
        <v>0.7</v>
      </c>
      <c r="J10" s="165">
        <v>1444</v>
      </c>
      <c r="K10" s="223">
        <f>J10/139019*100</f>
        <v>1.038706939339227</v>
      </c>
      <c r="L10" s="165">
        <v>1250</v>
      </c>
      <c r="M10" s="223">
        <f>L10/154018*100</f>
        <v>0.81159345011622019</v>
      </c>
      <c r="N10" s="165">
        <v>1465</v>
      </c>
      <c r="O10" s="223">
        <f>N10/160634*100</f>
        <v>0.91201115579516179</v>
      </c>
      <c r="P10" s="165">
        <v>2218</v>
      </c>
      <c r="Q10" s="223">
        <f>P10/179955*100</f>
        <v>1.232530354810925</v>
      </c>
      <c r="R10" s="165">
        <v>1861</v>
      </c>
      <c r="S10" s="223">
        <f>R10/180048*100</f>
        <v>1.0336132586865725</v>
      </c>
      <c r="T10" s="165">
        <v>2233</v>
      </c>
      <c r="U10" s="223">
        <f>T10/179377*100</f>
        <v>1.2448641687618813</v>
      </c>
      <c r="V10" s="165">
        <v>1847</v>
      </c>
      <c r="W10" s="223">
        <f>V10/180969*100</f>
        <v>1.0206167907210626</v>
      </c>
      <c r="X10" s="165">
        <v>1872</v>
      </c>
      <c r="Y10" s="223">
        <f>X10/190989*100</f>
        <v>0.98016116111399076</v>
      </c>
      <c r="Z10" s="165">
        <v>2329</v>
      </c>
      <c r="AA10" s="223">
        <f>Z10/198107*100</f>
        <v>1.1756273125129348</v>
      </c>
      <c r="AB10" s="165">
        <v>2381</v>
      </c>
      <c r="AC10" s="223">
        <f>AB10/208588*100</f>
        <v>1.1414846491648609</v>
      </c>
      <c r="AD10" s="165">
        <v>2365</v>
      </c>
      <c r="AE10" s="223">
        <f>AD10/217274*100</f>
        <v>1.0884873477728583</v>
      </c>
      <c r="AF10" s="165">
        <v>2688</v>
      </c>
      <c r="AG10" s="223">
        <f>AF10/230614*100</f>
        <v>1.165584049537322</v>
      </c>
      <c r="AH10" s="165">
        <v>2321</v>
      </c>
      <c r="AI10" s="223">
        <f>AH10/239912*100</f>
        <v>0.96743806062222826</v>
      </c>
      <c r="AJ10" s="165">
        <v>2242</v>
      </c>
      <c r="AK10" s="223">
        <f>AJ10/250834*100</f>
        <v>0.89381822241004005</v>
      </c>
      <c r="AL10" s="165">
        <v>2400</v>
      </c>
      <c r="AM10" s="223">
        <f>AL10/260471*100</f>
        <v>0.92140775748547832</v>
      </c>
      <c r="AN10" s="165">
        <v>2388</v>
      </c>
      <c r="AO10" s="223">
        <f>AN10/268668*100</f>
        <v>0.88882933583456158</v>
      </c>
      <c r="AP10" s="165">
        <v>2459</v>
      </c>
      <c r="AQ10" s="223">
        <f>AP10/269749*100</f>
        <v>0.91158818012300324</v>
      </c>
      <c r="AR10" s="165">
        <v>2695</v>
      </c>
      <c r="AS10" s="223">
        <f>AR10/279166*100</f>
        <v>0.96537543970254247</v>
      </c>
      <c r="AT10" s="165">
        <v>2646</v>
      </c>
      <c r="AU10" s="223">
        <f>AT10/284367*100</f>
        <v>0.93048771481922998</v>
      </c>
      <c r="AV10" s="165">
        <v>2555</v>
      </c>
      <c r="AW10" s="223">
        <f>AV10/290960*100</f>
        <v>0.87812757767390703</v>
      </c>
      <c r="AX10" s="165">
        <v>2544</v>
      </c>
      <c r="AY10" s="223">
        <f>AX10/297883*100</f>
        <v>0.8540265809059262</v>
      </c>
      <c r="AZ10" s="165">
        <v>2654</v>
      </c>
      <c r="BA10" s="223">
        <f>AZ10/305574*100</f>
        <v>0.86852939058951351</v>
      </c>
      <c r="BB10" s="165">
        <v>2161</v>
      </c>
      <c r="BC10" s="223">
        <v>0.7</v>
      </c>
      <c r="BD10" s="165">
        <v>2367</v>
      </c>
      <c r="BE10" s="223">
        <v>0.7</v>
      </c>
      <c r="BF10" s="165">
        <v>6106</v>
      </c>
      <c r="BG10" s="223">
        <v>1.9</v>
      </c>
      <c r="BH10" s="165">
        <v>6127</v>
      </c>
      <c r="BI10" s="223">
        <v>1.9</v>
      </c>
      <c r="BJ10" s="165">
        <v>6508</v>
      </c>
      <c r="BK10" s="223">
        <v>1.9</v>
      </c>
      <c r="BL10" s="165">
        <v>6829</v>
      </c>
      <c r="BM10" s="223">
        <v>2</v>
      </c>
      <c r="BN10" s="165">
        <v>7497</v>
      </c>
      <c r="BO10" s="223">
        <v>2.1272671554718183</v>
      </c>
      <c r="BP10" s="165">
        <v>10487</v>
      </c>
      <c r="BQ10" s="223">
        <v>3</v>
      </c>
      <c r="BR10" s="165">
        <v>11551</v>
      </c>
      <c r="BS10" s="223">
        <v>3.2</v>
      </c>
      <c r="BT10" s="165">
        <v>10242</v>
      </c>
      <c r="BU10" s="223">
        <v>2.8</v>
      </c>
      <c r="BV10" s="165">
        <v>10394</v>
      </c>
      <c r="BW10" s="223">
        <v>2.9384686975085224</v>
      </c>
      <c r="BX10" s="165">
        <v>8329</v>
      </c>
      <c r="BY10" s="223">
        <v>2.4</v>
      </c>
      <c r="BZ10" s="165">
        <v>8632.0660000000007</v>
      </c>
      <c r="CA10" s="223">
        <v>2.2000000000000002</v>
      </c>
      <c r="CB10" s="165">
        <v>8813.5810000000001</v>
      </c>
      <c r="CC10" s="223">
        <v>2.2474982738461522</v>
      </c>
      <c r="CD10" s="165">
        <v>8328</v>
      </c>
      <c r="CE10" s="223">
        <v>2.2000000000000002</v>
      </c>
      <c r="CF10" s="165">
        <v>8083</v>
      </c>
      <c r="CG10" s="223">
        <v>2.2000000000000002</v>
      </c>
      <c r="CH10" s="165">
        <v>9165</v>
      </c>
      <c r="CI10" s="223">
        <v>2.5</v>
      </c>
      <c r="CJ10" s="220">
        <v>9410.3819999999996</v>
      </c>
      <c r="CK10" s="572">
        <v>2.5</v>
      </c>
    </row>
    <row r="11" spans="1:218" s="192" customFormat="1" ht="15" customHeight="1" x14ac:dyDescent="0.2">
      <c r="A11" s="434" t="s">
        <v>103</v>
      </c>
      <c r="B11" s="165">
        <v>7294</v>
      </c>
      <c r="C11" s="223">
        <v>7.2</v>
      </c>
      <c r="D11" s="165">
        <v>6805</v>
      </c>
      <c r="E11" s="223">
        <v>6.3</v>
      </c>
      <c r="F11" s="165">
        <v>6514</v>
      </c>
      <c r="G11" s="223">
        <v>5.6</v>
      </c>
      <c r="H11" s="165">
        <v>7188</v>
      </c>
      <c r="I11" s="223">
        <v>5.5</v>
      </c>
      <c r="J11" s="165">
        <v>8857</v>
      </c>
      <c r="K11" s="223">
        <f>J11/139019*100</f>
        <v>6.3710715801437212</v>
      </c>
      <c r="L11" s="165">
        <v>9092</v>
      </c>
      <c r="M11" s="223">
        <f>L11/154018*100</f>
        <v>5.9032061187653389</v>
      </c>
      <c r="N11" s="165">
        <v>10341</v>
      </c>
      <c r="O11" s="223">
        <f>N11/160634*100</f>
        <v>6.4376159468107623</v>
      </c>
      <c r="P11" s="165">
        <v>11266</v>
      </c>
      <c r="Q11" s="223">
        <f>P11/179955*100</f>
        <v>6.2604540023894861</v>
      </c>
      <c r="R11" s="165">
        <v>12052</v>
      </c>
      <c r="S11" s="223">
        <f>R11/180048*100</f>
        <v>6.6937705500755351</v>
      </c>
      <c r="T11" s="165">
        <v>12309</v>
      </c>
      <c r="U11" s="223">
        <f>T11/179377*100</f>
        <v>6.8620837677071194</v>
      </c>
      <c r="V11" s="165">
        <v>11792</v>
      </c>
      <c r="W11" s="223">
        <f>V11/180969*100</f>
        <v>6.5160331327464922</v>
      </c>
      <c r="X11" s="165">
        <v>11634</v>
      </c>
      <c r="Y11" s="223">
        <f>X11/190989*100</f>
        <v>6.0914502929488084</v>
      </c>
      <c r="Z11" s="165">
        <v>12441</v>
      </c>
      <c r="AA11" s="223">
        <f>Z11/198107*100</f>
        <v>6.2799396285845521</v>
      </c>
      <c r="AB11" s="165">
        <v>12527</v>
      </c>
      <c r="AC11" s="223">
        <f>AB11/208588*100</f>
        <v>6.0056187316624161</v>
      </c>
      <c r="AD11" s="165">
        <v>13054</v>
      </c>
      <c r="AE11" s="223">
        <f>AD11/217274*100</f>
        <v>6.0080819610261695</v>
      </c>
      <c r="AF11" s="165">
        <v>13073</v>
      </c>
      <c r="AG11" s="223">
        <f>AF11/230614*100</f>
        <v>5.6687798659231445</v>
      </c>
      <c r="AH11" s="165">
        <v>12644</v>
      </c>
      <c r="AI11" s="223">
        <f>AH11/239912*100</f>
        <v>5.2702657641135087</v>
      </c>
      <c r="AJ11" s="165">
        <v>14636</v>
      </c>
      <c r="AK11" s="223">
        <f>AJ11/250834*100</f>
        <v>5.8349346579809751</v>
      </c>
      <c r="AL11" s="165">
        <v>14567</v>
      </c>
      <c r="AM11" s="223">
        <f>AL11/260471*100</f>
        <v>5.5925611680378999</v>
      </c>
      <c r="AN11" s="165">
        <v>13822</v>
      </c>
      <c r="AO11" s="223">
        <f>AN11/268668*100</f>
        <v>5.1446394806973661</v>
      </c>
      <c r="AP11" s="165">
        <v>13390</v>
      </c>
      <c r="AQ11" s="223">
        <f>AP11/269749*100</f>
        <v>4.9638738234432749</v>
      </c>
      <c r="AR11" s="165">
        <v>15035</v>
      </c>
      <c r="AS11" s="223">
        <f>AR11/279166*100</f>
        <v>5.3856845031271714</v>
      </c>
      <c r="AT11" s="165">
        <v>15099</v>
      </c>
      <c r="AU11" s="223">
        <f>AT11/284367*100</f>
        <v>5.3096878329764001</v>
      </c>
      <c r="AV11" s="165">
        <v>15182</v>
      </c>
      <c r="AW11" s="223">
        <f>AV11/290960*100</f>
        <v>5.2178993676106682</v>
      </c>
      <c r="AX11" s="165">
        <v>15823</v>
      </c>
      <c r="AY11" s="223">
        <f>AX11/297883*100</f>
        <v>5.3118170556896498</v>
      </c>
      <c r="AZ11" s="165">
        <v>16673</v>
      </c>
      <c r="BA11" s="223">
        <f>AZ11/305574*100</f>
        <v>5.456288820383933</v>
      </c>
      <c r="BB11" s="165">
        <v>16195</v>
      </c>
      <c r="BC11" s="223">
        <v>5.2</v>
      </c>
      <c r="BD11" s="165">
        <v>17328</v>
      </c>
      <c r="BE11" s="223">
        <v>5.4</v>
      </c>
      <c r="BF11" s="165">
        <v>21085</v>
      </c>
      <c r="BG11" s="223">
        <v>6.4</v>
      </c>
      <c r="BH11" s="165">
        <v>21889</v>
      </c>
      <c r="BI11" s="223">
        <v>6.7</v>
      </c>
      <c r="BJ11" s="165">
        <v>23080</v>
      </c>
      <c r="BK11" s="223">
        <v>6.9</v>
      </c>
      <c r="BL11" s="165">
        <v>24044</v>
      </c>
      <c r="BM11" s="223">
        <v>6.9</v>
      </c>
      <c r="BN11" s="165">
        <v>27157</v>
      </c>
      <c r="BO11" s="223">
        <v>7.7057748620979281</v>
      </c>
      <c r="BP11" s="165">
        <v>30940</v>
      </c>
      <c r="BQ11" s="223">
        <v>8.6999999999999993</v>
      </c>
      <c r="BR11" s="165">
        <v>35370</v>
      </c>
      <c r="BS11" s="223">
        <v>9.6999999999999993</v>
      </c>
      <c r="BT11" s="165">
        <v>33934</v>
      </c>
      <c r="BU11" s="223">
        <v>9.1999999999999993</v>
      </c>
      <c r="BV11" s="165">
        <v>32434</v>
      </c>
      <c r="BW11" s="223">
        <v>9.1693350904383983</v>
      </c>
      <c r="BX11" s="165">
        <v>30350</v>
      </c>
      <c r="BY11" s="223">
        <v>8.9</v>
      </c>
      <c r="BZ11" s="165">
        <v>32175.614000000001</v>
      </c>
      <c r="CA11" s="223">
        <v>8.1</v>
      </c>
      <c r="CB11" s="165">
        <v>33142.834999999999</v>
      </c>
      <c r="CC11" s="223">
        <v>8.4515549868853341</v>
      </c>
      <c r="CD11" s="165">
        <v>32250</v>
      </c>
      <c r="CE11" s="223">
        <v>8.5</v>
      </c>
      <c r="CF11" s="165">
        <v>30854</v>
      </c>
      <c r="CG11" s="223">
        <v>8.1999999999999993</v>
      </c>
      <c r="CH11" s="165">
        <v>30603</v>
      </c>
      <c r="CI11" s="223">
        <v>8.3000000000000007</v>
      </c>
      <c r="CJ11" s="220">
        <v>30628.438999999998</v>
      </c>
      <c r="CK11" s="572">
        <v>8.3000000000000007</v>
      </c>
    </row>
    <row r="12" spans="1:218" s="192" customFormat="1" ht="15" customHeight="1" x14ac:dyDescent="0.2">
      <c r="A12" s="434" t="s">
        <v>104</v>
      </c>
      <c r="B12" s="165">
        <v>11102</v>
      </c>
      <c r="C12" s="223">
        <v>10.9</v>
      </c>
      <c r="D12" s="165">
        <v>10641</v>
      </c>
      <c r="E12" s="223">
        <v>9.8000000000000007</v>
      </c>
      <c r="F12" s="165">
        <v>10776</v>
      </c>
      <c r="G12" s="223">
        <v>9.3000000000000007</v>
      </c>
      <c r="H12" s="165">
        <v>11803</v>
      </c>
      <c r="I12" s="223">
        <v>9</v>
      </c>
      <c r="J12" s="165">
        <v>13580</v>
      </c>
      <c r="K12" s="223">
        <f>J12/139019*100</f>
        <v>9.7684489170545028</v>
      </c>
      <c r="L12" s="165">
        <v>14670</v>
      </c>
      <c r="M12" s="223">
        <f>L12/154018*100</f>
        <v>9.5248607305639599</v>
      </c>
      <c r="N12" s="165">
        <v>15935</v>
      </c>
      <c r="O12" s="223">
        <f>N12/160634*100</f>
        <v>9.9200667355603436</v>
      </c>
      <c r="P12" s="165">
        <v>17990</v>
      </c>
      <c r="Q12" s="223">
        <f>P12/179955*100</f>
        <v>9.9969436803645362</v>
      </c>
      <c r="R12" s="165">
        <v>18648</v>
      </c>
      <c r="S12" s="223">
        <f>R12/180048*100</f>
        <v>10.357238069848041</v>
      </c>
      <c r="T12" s="165">
        <v>18555</v>
      </c>
      <c r="U12" s="223">
        <f>T12/179377*100</f>
        <v>10.344135535771029</v>
      </c>
      <c r="V12" s="165">
        <v>18164</v>
      </c>
      <c r="W12" s="223">
        <f>V12/180969*100</f>
        <v>10.037078173609846</v>
      </c>
      <c r="X12" s="165">
        <v>17668</v>
      </c>
      <c r="Y12" s="223">
        <f>X12/190989*100</f>
        <v>9.250794548377133</v>
      </c>
      <c r="Z12" s="165">
        <v>18876</v>
      </c>
      <c r="AA12" s="223">
        <f>Z12/198107*100</f>
        <v>9.5281842640593215</v>
      </c>
      <c r="AB12" s="165">
        <v>19455</v>
      </c>
      <c r="AC12" s="223">
        <f>AB12/208588*100</f>
        <v>9.3269986768174586</v>
      </c>
      <c r="AD12" s="165">
        <v>20233</v>
      </c>
      <c r="AE12" s="223">
        <f>AD12/217274*100</f>
        <v>9.3122048657455565</v>
      </c>
      <c r="AF12" s="165">
        <v>20477</v>
      </c>
      <c r="AG12" s="223">
        <f>AF12/230614*100</f>
        <v>8.8793395023719288</v>
      </c>
      <c r="AH12" s="165">
        <v>19731</v>
      </c>
      <c r="AI12" s="223">
        <f>AH12/239912*100</f>
        <v>8.2242655640401487</v>
      </c>
      <c r="AJ12" s="165">
        <v>22979</v>
      </c>
      <c r="AK12" s="223">
        <f>AJ12/250834*100</f>
        <v>9.1610387746477748</v>
      </c>
      <c r="AL12" s="165">
        <v>23530</v>
      </c>
      <c r="AM12" s="223">
        <f>AL12/260471*100</f>
        <v>9.0336352223472094</v>
      </c>
      <c r="AN12" s="165">
        <v>22701</v>
      </c>
      <c r="AO12" s="223">
        <f>AN12/268668*100</f>
        <v>8.4494617892715169</v>
      </c>
      <c r="AP12" s="165">
        <v>22003</v>
      </c>
      <c r="AQ12" s="223">
        <f>AP12/269749*100</f>
        <v>8.156842101360894</v>
      </c>
      <c r="AR12" s="165">
        <v>23850</v>
      </c>
      <c r="AS12" s="223">
        <f>AR12/279166*100</f>
        <v>8.5433039840095137</v>
      </c>
      <c r="AT12" s="165">
        <v>24011</v>
      </c>
      <c r="AU12" s="223">
        <f>AT12/284367*100</f>
        <v>8.4436661075300581</v>
      </c>
      <c r="AV12" s="165">
        <v>23571</v>
      </c>
      <c r="AW12" s="223">
        <f>AV12/290960*100</f>
        <v>8.1011135551278528</v>
      </c>
      <c r="AX12" s="165">
        <v>24279</v>
      </c>
      <c r="AY12" s="223">
        <f>AX12/297883*100</f>
        <v>8.1505154708392222</v>
      </c>
      <c r="AZ12" s="165">
        <v>25607</v>
      </c>
      <c r="BA12" s="223">
        <f>AZ12/305574*100</f>
        <v>8.379966881999124</v>
      </c>
      <c r="BB12" s="165">
        <v>25131</v>
      </c>
      <c r="BC12" s="223">
        <v>8.1</v>
      </c>
      <c r="BD12" s="165">
        <v>26569</v>
      </c>
      <c r="BE12" s="223">
        <v>8.1999999999999993</v>
      </c>
      <c r="BF12" s="165">
        <v>30069</v>
      </c>
      <c r="BG12" s="223">
        <v>9.1999999999999993</v>
      </c>
      <c r="BH12" s="165">
        <v>31243</v>
      </c>
      <c r="BI12" s="223">
        <v>9.5</v>
      </c>
      <c r="BJ12" s="165">
        <v>33329</v>
      </c>
      <c r="BK12" s="223">
        <v>9.9</v>
      </c>
      <c r="BL12" s="165">
        <v>35072</v>
      </c>
      <c r="BM12" s="223">
        <v>10.1</v>
      </c>
      <c r="BN12" s="165">
        <v>40968</v>
      </c>
      <c r="BO12" s="223">
        <v>11.624633963634713</v>
      </c>
      <c r="BP12" s="165">
        <v>44834</v>
      </c>
      <c r="BQ12" s="223">
        <v>12.6</v>
      </c>
      <c r="BR12" s="165">
        <v>50126</v>
      </c>
      <c r="BS12" s="223">
        <v>13.7</v>
      </c>
      <c r="BT12" s="165">
        <v>49215</v>
      </c>
      <c r="BU12" s="223">
        <v>13.4</v>
      </c>
      <c r="BV12" s="165">
        <v>47767</v>
      </c>
      <c r="BW12" s="223">
        <v>13.504013300061054</v>
      </c>
      <c r="BX12" s="165">
        <v>45140</v>
      </c>
      <c r="BY12" s="223">
        <v>13.2</v>
      </c>
      <c r="BZ12" s="165">
        <v>48473.796000000002</v>
      </c>
      <c r="CA12" s="223">
        <v>12.2</v>
      </c>
      <c r="CB12" s="165">
        <v>49304.500999999997</v>
      </c>
      <c r="CC12" s="223">
        <v>12.572844215120494</v>
      </c>
      <c r="CD12" s="165">
        <v>48441</v>
      </c>
      <c r="CE12" s="223">
        <v>12.7</v>
      </c>
      <c r="CF12" s="165">
        <v>47159</v>
      </c>
      <c r="CG12" s="223">
        <v>12.6</v>
      </c>
      <c r="CH12" s="165">
        <v>47215</v>
      </c>
      <c r="CI12" s="223">
        <v>12.8</v>
      </c>
      <c r="CJ12" s="220">
        <v>45506.148999999998</v>
      </c>
      <c r="CK12" s="572">
        <v>12.3</v>
      </c>
    </row>
    <row r="13" spans="1:218" s="192" customFormat="1" ht="15" customHeight="1" x14ac:dyDescent="0.2">
      <c r="A13" s="434" t="s">
        <v>105</v>
      </c>
      <c r="B13" s="165">
        <v>17757</v>
      </c>
      <c r="C13" s="223">
        <v>17.5</v>
      </c>
      <c r="D13" s="165">
        <v>17492</v>
      </c>
      <c r="E13" s="223">
        <v>16.2</v>
      </c>
      <c r="F13" s="165">
        <v>17758</v>
      </c>
      <c r="G13" s="223">
        <v>15.3</v>
      </c>
      <c r="H13" s="165">
        <v>20530</v>
      </c>
      <c r="I13" s="223">
        <v>15.6</v>
      </c>
      <c r="J13" s="165">
        <v>21896</v>
      </c>
      <c r="K13" s="223">
        <f>J13/139019*100</f>
        <v>15.750365058013651</v>
      </c>
      <c r="L13" s="165">
        <v>23662</v>
      </c>
      <c r="M13" s="223">
        <f>L13/154018*100</f>
        <v>15.363139373320001</v>
      </c>
      <c r="N13" s="165">
        <v>25426</v>
      </c>
      <c r="O13" s="223">
        <f>N13/160634*100</f>
        <v>15.828529452046267</v>
      </c>
      <c r="P13" s="165">
        <v>29274</v>
      </c>
      <c r="Q13" s="223">
        <f>P13/179955*100</f>
        <v>16.267400183379177</v>
      </c>
      <c r="R13" s="165">
        <v>29603</v>
      </c>
      <c r="S13" s="223">
        <f>R13/180048*100</f>
        <v>16.441726650670933</v>
      </c>
      <c r="T13" s="165">
        <v>29431</v>
      </c>
      <c r="U13" s="223">
        <f>T13/179377*100</f>
        <v>16.407343193385998</v>
      </c>
      <c r="V13" s="165">
        <v>29281</v>
      </c>
      <c r="W13" s="223">
        <f>V13/180969*100</f>
        <v>16.180119246942848</v>
      </c>
      <c r="X13" s="165">
        <v>29176</v>
      </c>
      <c r="Y13" s="223">
        <f>X13/190989*100</f>
        <v>15.276272455481729</v>
      </c>
      <c r="Z13" s="165">
        <v>29906</v>
      </c>
      <c r="AA13" s="223">
        <f>Z13/198107*100</f>
        <v>15.095882528128737</v>
      </c>
      <c r="AB13" s="165">
        <v>30812</v>
      </c>
      <c r="AC13" s="223">
        <f>AB13/208588*100</f>
        <v>14.771703070167028</v>
      </c>
      <c r="AD13" s="165">
        <v>31572</v>
      </c>
      <c r="AE13" s="223">
        <f>AD13/217274*100</f>
        <v>14.53096090650515</v>
      </c>
      <c r="AF13" s="165">
        <v>32484</v>
      </c>
      <c r="AG13" s="223">
        <f>AF13/230614*100</f>
        <v>14.085875098649691</v>
      </c>
      <c r="AH13" s="165">
        <v>33014</v>
      </c>
      <c r="AI13" s="223">
        <f>AH13/239912*100</f>
        <v>13.760878988962618</v>
      </c>
      <c r="AJ13" s="165">
        <v>36274</v>
      </c>
      <c r="AK13" s="223">
        <f>AJ13/250834*100</f>
        <v>14.461356913337106</v>
      </c>
      <c r="AL13" s="165">
        <v>37558</v>
      </c>
      <c r="AM13" s="223">
        <f>AL13/260471*100</f>
        <v>14.41926356484983</v>
      </c>
      <c r="AN13" s="165">
        <v>36802</v>
      </c>
      <c r="AO13" s="223">
        <f>AN13/268668*100</f>
        <v>13.697946908452066</v>
      </c>
      <c r="AP13" s="165">
        <v>35259</v>
      </c>
      <c r="AQ13" s="223">
        <f>AP13/269749*100</f>
        <v>13.071040115069934</v>
      </c>
      <c r="AR13" s="165">
        <v>37099</v>
      </c>
      <c r="AS13" s="223">
        <f>AR13/279166*100</f>
        <v>13.28922576531526</v>
      </c>
      <c r="AT13" s="165">
        <v>38104</v>
      </c>
      <c r="AU13" s="223">
        <f>AT13/284367*100</f>
        <v>13.399585746588036</v>
      </c>
      <c r="AV13" s="165">
        <v>37327</v>
      </c>
      <c r="AW13" s="223">
        <f>AV13/290960*100</f>
        <v>12.828911190541655</v>
      </c>
      <c r="AX13" s="165">
        <v>38696</v>
      </c>
      <c r="AY13" s="223">
        <f>AX13/297883*100</f>
        <v>12.990335131578506</v>
      </c>
      <c r="AZ13" s="165">
        <v>38951</v>
      </c>
      <c r="BA13" s="223">
        <f>AZ13/305574*100</f>
        <v>12.74683055495559</v>
      </c>
      <c r="BB13" s="165">
        <v>38605</v>
      </c>
      <c r="BC13" s="223">
        <v>12.4</v>
      </c>
      <c r="BD13" s="165">
        <v>41783</v>
      </c>
      <c r="BE13" s="223">
        <v>12.9</v>
      </c>
      <c r="BF13" s="165">
        <v>44710</v>
      </c>
      <c r="BG13" s="223">
        <v>13.6</v>
      </c>
      <c r="BH13" s="165">
        <v>45223</v>
      </c>
      <c r="BI13" s="223">
        <v>13.8</v>
      </c>
      <c r="BJ13" s="165">
        <v>47075</v>
      </c>
      <c r="BK13" s="223">
        <v>14</v>
      </c>
      <c r="BL13" s="165">
        <v>49657</v>
      </c>
      <c r="BM13" s="223">
        <v>14.3</v>
      </c>
      <c r="BN13" s="165">
        <v>60546</v>
      </c>
      <c r="BO13" s="223">
        <v>17.179874242389847</v>
      </c>
      <c r="BP13" s="165">
        <v>64535</v>
      </c>
      <c r="BQ13" s="223">
        <v>18.2</v>
      </c>
      <c r="BR13" s="165">
        <v>70854</v>
      </c>
      <c r="BS13" s="223">
        <v>19.399999999999999</v>
      </c>
      <c r="BT13" s="165">
        <v>72261</v>
      </c>
      <c r="BU13" s="223">
        <v>19.7</v>
      </c>
      <c r="BV13" s="165">
        <v>69262</v>
      </c>
      <c r="BW13" s="223">
        <v>19.580817263735632</v>
      </c>
      <c r="BX13" s="165">
        <v>65200</v>
      </c>
      <c r="BY13" s="223">
        <v>19.100000000000001</v>
      </c>
      <c r="BZ13" s="165">
        <v>73074.566999999995</v>
      </c>
      <c r="CA13" s="223">
        <v>18.3</v>
      </c>
      <c r="CB13" s="165">
        <v>72750.721000000005</v>
      </c>
      <c r="CC13" s="223">
        <v>18.551723739597222</v>
      </c>
      <c r="CD13" s="165">
        <v>71129</v>
      </c>
      <c r="CE13" s="223">
        <v>18.7</v>
      </c>
      <c r="CF13" s="165">
        <v>69049</v>
      </c>
      <c r="CG13" s="223">
        <v>18.399999999999999</v>
      </c>
      <c r="CH13" s="165">
        <v>68641</v>
      </c>
      <c r="CI13" s="223">
        <v>18.600000000000001</v>
      </c>
      <c r="CJ13" s="220">
        <v>66362.206000000006</v>
      </c>
      <c r="CK13" s="572">
        <v>17.899999999999999</v>
      </c>
    </row>
    <row r="14" spans="1:218" s="192" customFormat="1" ht="15" customHeight="1" x14ac:dyDescent="0.2">
      <c r="A14" s="434" t="s">
        <v>106</v>
      </c>
      <c r="B14" s="165">
        <v>23069</v>
      </c>
      <c r="C14" s="223">
        <v>22.7</v>
      </c>
      <c r="D14" s="165">
        <v>23190</v>
      </c>
      <c r="E14" s="223">
        <v>21.4</v>
      </c>
      <c r="F14" s="165">
        <v>23268</v>
      </c>
      <c r="G14" s="223">
        <v>20</v>
      </c>
      <c r="H14" s="165">
        <v>27070</v>
      </c>
      <c r="I14" s="223">
        <v>20.6</v>
      </c>
      <c r="J14" s="165">
        <v>28436</v>
      </c>
      <c r="K14" s="223">
        <f>J14/139019*100</f>
        <v>20.454757982721787</v>
      </c>
      <c r="L14" s="165">
        <v>30684</v>
      </c>
      <c r="M14" s="223">
        <f>L14/154018*100</f>
        <v>19.92234673869288</v>
      </c>
      <c r="N14" s="165">
        <v>33268</v>
      </c>
      <c r="O14" s="223">
        <f>N14/160634*100</f>
        <v>20.710434901702005</v>
      </c>
      <c r="P14" s="165">
        <v>38274</v>
      </c>
      <c r="Q14" s="223">
        <f>P14/179955*100</f>
        <v>21.268650495957324</v>
      </c>
      <c r="R14" s="165">
        <v>38281</v>
      </c>
      <c r="S14" s="223">
        <f>R14/180048*100</f>
        <v>21.261552474895584</v>
      </c>
      <c r="T14" s="165">
        <v>37799</v>
      </c>
      <c r="U14" s="223">
        <f>T14/179377*100</f>
        <v>21.072378287071363</v>
      </c>
      <c r="V14" s="165">
        <v>37586</v>
      </c>
      <c r="W14" s="223">
        <f>V14/180969*100</f>
        <v>20.769303029800685</v>
      </c>
      <c r="X14" s="165">
        <v>37047</v>
      </c>
      <c r="Y14" s="223">
        <f>X14/190989*100</f>
        <v>19.39745220928954</v>
      </c>
      <c r="Z14" s="165">
        <v>37913</v>
      </c>
      <c r="AA14" s="223">
        <f>Z14/198107*100</f>
        <v>19.137637741220654</v>
      </c>
      <c r="AB14" s="165">
        <v>39604</v>
      </c>
      <c r="AC14" s="223">
        <f>AB14/208588*100</f>
        <v>18.986710644907664</v>
      </c>
      <c r="AD14" s="165">
        <v>40380</v>
      </c>
      <c r="AE14" s="223">
        <f>AD14/217274*100</f>
        <v>18.58482837339028</v>
      </c>
      <c r="AF14" s="165">
        <v>41284</v>
      </c>
      <c r="AG14" s="223">
        <f>AF14/230614*100</f>
        <v>17.901775260825449</v>
      </c>
      <c r="AH14" s="165">
        <v>42363</v>
      </c>
      <c r="AI14" s="223">
        <f>AH14/239912*100</f>
        <v>17.657724498982962</v>
      </c>
      <c r="AJ14" s="165">
        <v>45964</v>
      </c>
      <c r="AK14" s="223">
        <f>AJ14/250834*100</f>
        <v>18.324469569516094</v>
      </c>
      <c r="AL14" s="165">
        <v>47917</v>
      </c>
      <c r="AM14" s="223">
        <f>AL14/260471*100</f>
        <v>18.396289798096525</v>
      </c>
      <c r="AN14" s="165">
        <v>47719</v>
      </c>
      <c r="AO14" s="223">
        <f>AN14/268668*100</f>
        <v>17.761326246519868</v>
      </c>
      <c r="AP14" s="165">
        <v>46022</v>
      </c>
      <c r="AQ14" s="223">
        <f>AP14/269749*100</f>
        <v>17.061045638723407</v>
      </c>
      <c r="AR14" s="165">
        <v>48493</v>
      </c>
      <c r="AS14" s="223">
        <f>AR14/279166*100</f>
        <v>17.370668347864711</v>
      </c>
      <c r="AT14" s="165">
        <v>49378</v>
      </c>
      <c r="AU14" s="223">
        <f>AT14/284367*100</f>
        <v>17.364180794536637</v>
      </c>
      <c r="AV14" s="165">
        <v>48951</v>
      </c>
      <c r="AW14" s="223">
        <f>AV14/290960*100</f>
        <v>16.823962056640088</v>
      </c>
      <c r="AX14" s="165">
        <v>51179</v>
      </c>
      <c r="AY14" s="223">
        <f>AX14/297883*100</f>
        <v>17.18090659755676</v>
      </c>
      <c r="AZ14" s="165">
        <v>50703</v>
      </c>
      <c r="BA14" s="223">
        <f>AZ14/305574*100</f>
        <v>16.592707494747589</v>
      </c>
      <c r="BB14" s="165">
        <v>50454</v>
      </c>
      <c r="BC14" s="223">
        <v>16.2</v>
      </c>
      <c r="BD14" s="165">
        <v>53926</v>
      </c>
      <c r="BE14" s="223">
        <v>16.7</v>
      </c>
      <c r="BF14" s="165">
        <v>56765</v>
      </c>
      <c r="BG14" s="223">
        <v>17.3</v>
      </c>
      <c r="BH14" s="165">
        <v>57192</v>
      </c>
      <c r="BI14" s="223">
        <v>17.399999999999999</v>
      </c>
      <c r="BJ14" s="165">
        <v>59474</v>
      </c>
      <c r="BK14" s="223">
        <v>17.7</v>
      </c>
      <c r="BL14" s="165">
        <v>62287</v>
      </c>
      <c r="BM14" s="223">
        <v>18</v>
      </c>
      <c r="BN14" s="165">
        <v>74572</v>
      </c>
      <c r="BO14" s="223">
        <v>21.159739404807844</v>
      </c>
      <c r="BP14" s="165">
        <v>78956</v>
      </c>
      <c r="BQ14" s="223">
        <v>22.2</v>
      </c>
      <c r="BR14" s="165">
        <v>86828</v>
      </c>
      <c r="BS14" s="223">
        <v>23.7</v>
      </c>
      <c r="BT14" s="165">
        <v>88062</v>
      </c>
      <c r="BU14" s="223">
        <v>24</v>
      </c>
      <c r="BV14" s="165">
        <v>84739</v>
      </c>
      <c r="BW14" s="223">
        <v>23.956191950826316</v>
      </c>
      <c r="BX14" s="165">
        <v>79677</v>
      </c>
      <c r="BY14" s="223">
        <v>23.3</v>
      </c>
      <c r="BZ14" s="165">
        <v>92445.88</v>
      </c>
      <c r="CA14" s="223">
        <v>23.2</v>
      </c>
      <c r="CB14" s="165">
        <v>90181.623999999996</v>
      </c>
      <c r="CC14" s="223">
        <v>22.996673460270316</v>
      </c>
      <c r="CD14" s="165">
        <v>88904</v>
      </c>
      <c r="CE14" s="223">
        <v>23.3</v>
      </c>
      <c r="CF14" s="165">
        <v>86437</v>
      </c>
      <c r="CG14" s="223">
        <v>23</v>
      </c>
      <c r="CH14" s="165">
        <v>84955</v>
      </c>
      <c r="CI14" s="223">
        <v>23</v>
      </c>
      <c r="CJ14" s="220">
        <v>82897.312999999995</v>
      </c>
      <c r="CK14" s="572">
        <v>22.4</v>
      </c>
    </row>
    <row r="15" spans="1:218" s="192" customFormat="1" ht="5.0999999999999996" customHeight="1" x14ac:dyDescent="0.2">
      <c r="A15" s="213"/>
      <c r="B15" s="165"/>
      <c r="C15" s="165"/>
      <c r="D15" s="165"/>
      <c r="E15" s="165"/>
      <c r="F15" s="165"/>
      <c r="G15" s="165"/>
      <c r="H15" s="214"/>
      <c r="I15" s="214"/>
      <c r="J15" s="214"/>
      <c r="K15" s="214"/>
      <c r="L15" s="214"/>
      <c r="M15" s="214"/>
      <c r="N15" s="196"/>
      <c r="O15" s="196"/>
      <c r="P15" s="196"/>
      <c r="Q15" s="196"/>
      <c r="R15" s="196"/>
      <c r="S15" s="196"/>
      <c r="T15" s="196"/>
      <c r="U15" s="196"/>
      <c r="V15" s="196"/>
      <c r="W15" s="196"/>
      <c r="X15" s="196"/>
      <c r="Y15" s="196"/>
      <c r="Z15" s="196"/>
      <c r="AA15" s="196"/>
      <c r="AB15" s="196"/>
      <c r="AC15" s="196"/>
      <c r="AD15" s="196"/>
      <c r="AE15" s="196"/>
      <c r="AF15" s="196"/>
      <c r="AG15" s="196"/>
      <c r="AH15" s="196"/>
      <c r="AI15" s="196"/>
      <c r="AJ15" s="196"/>
      <c r="AK15" s="196"/>
      <c r="AL15" s="196"/>
      <c r="AM15" s="196"/>
      <c r="AN15" s="196"/>
      <c r="AO15" s="196"/>
      <c r="AP15" s="196"/>
      <c r="AQ15" s="196"/>
      <c r="AR15" s="196"/>
      <c r="AS15" s="196"/>
      <c r="AT15" s="196"/>
      <c r="AU15" s="196"/>
      <c r="AV15" s="196"/>
      <c r="AW15" s="196"/>
      <c r="AX15" s="196"/>
      <c r="AY15" s="196"/>
      <c r="AZ15" s="196"/>
      <c r="BA15" s="196"/>
      <c r="BB15" s="196"/>
      <c r="BC15" s="196"/>
      <c r="BD15" s="196"/>
      <c r="BE15" s="196"/>
      <c r="BF15" s="196"/>
      <c r="BG15" s="196"/>
      <c r="BH15" s="196"/>
      <c r="BI15" s="196"/>
      <c r="BJ15" s="196"/>
      <c r="BK15" s="196"/>
      <c r="BL15" s="196"/>
      <c r="BM15" s="196"/>
      <c r="BN15" s="196"/>
      <c r="BO15" s="196"/>
      <c r="BP15" s="196"/>
      <c r="BQ15" s="196"/>
      <c r="BR15" s="196"/>
      <c r="BS15" s="196"/>
      <c r="BT15" s="196"/>
      <c r="BU15" s="196"/>
      <c r="BV15" s="196"/>
      <c r="BW15" s="196"/>
      <c r="BX15" s="196"/>
      <c r="BY15" s="196"/>
      <c r="BZ15" s="196"/>
      <c r="CA15" s="196"/>
      <c r="CB15" s="196"/>
      <c r="CC15" s="196"/>
      <c r="CD15" s="196"/>
      <c r="CE15" s="196"/>
      <c r="CF15" s="196"/>
      <c r="CG15" s="196"/>
      <c r="CH15" s="196"/>
      <c r="CI15" s="196"/>
      <c r="CJ15" s="196"/>
      <c r="CK15" s="196"/>
    </row>
    <row r="16" spans="1:218" s="178" customFormat="1" ht="9.9499999999999993" customHeight="1" thickBot="1" x14ac:dyDescent="0.25">
      <c r="A16" s="175"/>
      <c r="B16" s="176"/>
      <c r="C16" s="176"/>
      <c r="D16" s="176"/>
      <c r="E16" s="176"/>
      <c r="F16" s="176"/>
      <c r="G16" s="176"/>
      <c r="H16" s="176"/>
      <c r="I16" s="176"/>
      <c r="J16" s="176"/>
      <c r="K16" s="176"/>
      <c r="L16" s="176"/>
      <c r="M16" s="176"/>
      <c r="N16" s="176"/>
      <c r="O16" s="176"/>
      <c r="P16" s="176"/>
      <c r="Q16" s="176"/>
      <c r="R16" s="176"/>
      <c r="S16" s="176"/>
      <c r="T16" s="176"/>
      <c r="U16" s="176"/>
      <c r="V16" s="176"/>
      <c r="W16" s="176"/>
      <c r="X16" s="176"/>
      <c r="Y16" s="176"/>
      <c r="Z16" s="176"/>
      <c r="AA16" s="176"/>
      <c r="AB16" s="176"/>
      <c r="AC16" s="176"/>
      <c r="AD16" s="176"/>
      <c r="AE16" s="176"/>
      <c r="AF16" s="176"/>
      <c r="AG16" s="176"/>
      <c r="AH16" s="176"/>
      <c r="AI16" s="176"/>
      <c r="AJ16" s="176"/>
      <c r="AK16" s="176"/>
      <c r="AL16" s="176"/>
      <c r="AM16" s="176"/>
      <c r="AN16" s="176"/>
      <c r="AO16" s="176"/>
      <c r="AP16" s="176"/>
      <c r="AQ16" s="176"/>
      <c r="AR16" s="176"/>
      <c r="AS16" s="176"/>
      <c r="AT16" s="176"/>
      <c r="AU16" s="176"/>
      <c r="AV16" s="176"/>
      <c r="AW16" s="176"/>
      <c r="AX16" s="176"/>
      <c r="AY16" s="176"/>
      <c r="AZ16" s="176"/>
      <c r="BA16" s="176"/>
      <c r="BB16" s="176"/>
      <c r="BC16" s="176"/>
      <c r="BD16" s="176"/>
      <c r="BE16" s="176"/>
      <c r="BF16" s="176"/>
      <c r="BG16" s="176"/>
      <c r="BH16" s="176"/>
      <c r="BI16" s="176"/>
      <c r="BJ16" s="176"/>
      <c r="BK16" s="176"/>
      <c r="BL16" s="176"/>
      <c r="BM16" s="176"/>
      <c r="BN16" s="176"/>
      <c r="BO16" s="176"/>
      <c r="BP16" s="176"/>
      <c r="BQ16" s="176"/>
      <c r="BR16" s="176"/>
      <c r="BS16" s="176"/>
      <c r="BT16" s="176"/>
      <c r="BU16" s="176"/>
      <c r="BV16" s="176"/>
      <c r="BW16" s="176"/>
      <c r="BX16" s="176"/>
      <c r="BY16" s="176"/>
      <c r="BZ16" s="176"/>
      <c r="CA16" s="176"/>
      <c r="CB16" s="176"/>
      <c r="CC16" s="176"/>
      <c r="CD16" s="176"/>
      <c r="CE16" s="176"/>
      <c r="CF16" s="176"/>
      <c r="CG16" s="176"/>
      <c r="CH16" s="176"/>
      <c r="CI16" s="176"/>
      <c r="CJ16" s="176"/>
      <c r="CK16" s="176"/>
      <c r="CL16" s="193"/>
      <c r="CM16" s="193"/>
      <c r="CN16" s="193"/>
      <c r="CO16" s="193"/>
      <c r="CP16" s="193"/>
      <c r="CQ16" s="193"/>
      <c r="CR16" s="193"/>
      <c r="CS16" s="193"/>
      <c r="CT16" s="193"/>
      <c r="CU16" s="193"/>
      <c r="CV16" s="193"/>
      <c r="CW16" s="193"/>
      <c r="CX16" s="193"/>
      <c r="CY16" s="193"/>
      <c r="CZ16" s="193"/>
      <c r="DA16" s="193"/>
      <c r="DB16" s="193"/>
      <c r="DC16" s="193"/>
      <c r="DD16" s="193"/>
      <c r="DE16" s="193"/>
      <c r="DF16" s="193"/>
      <c r="DG16" s="193"/>
      <c r="DH16" s="193"/>
      <c r="DI16" s="193"/>
      <c r="DJ16" s="193"/>
      <c r="DK16" s="193"/>
      <c r="DL16" s="193"/>
      <c r="DM16" s="193"/>
      <c r="DN16" s="193"/>
      <c r="DO16" s="193"/>
      <c r="DP16" s="193"/>
      <c r="DQ16" s="193"/>
    </row>
    <row r="17" spans="1:49" ht="12" customHeight="1" thickTop="1" x14ac:dyDescent="0.2">
      <c r="A17" s="206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2"/>
      <c r="AQ17" s="22"/>
      <c r="AR17" s="22"/>
      <c r="AS17" s="22"/>
      <c r="AT17" s="22"/>
      <c r="AU17" s="22"/>
      <c r="AV17" s="22"/>
      <c r="AW17" s="22"/>
    </row>
    <row r="18" spans="1:49" s="36" customFormat="1" ht="24" x14ac:dyDescent="0.2">
      <c r="A18" s="693" t="s">
        <v>107</v>
      </c>
      <c r="B18" s="693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64"/>
      <c r="AQ18" s="64"/>
      <c r="AR18" s="64"/>
      <c r="AS18" s="64"/>
      <c r="AT18" s="64"/>
      <c r="AU18" s="64"/>
      <c r="AV18" s="64"/>
      <c r="AW18" s="64"/>
    </row>
    <row r="19" spans="1:49" s="36" customFormat="1" ht="15" customHeight="1" x14ac:dyDescent="0.2">
      <c r="A19" s="693"/>
      <c r="B19" s="693"/>
      <c r="C19" s="61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</row>
    <row r="20" spans="1:49" s="36" customFormat="1" ht="15" customHeight="1" x14ac:dyDescent="0.2">
      <c r="A20" s="383"/>
      <c r="B20" s="384"/>
      <c r="C20" s="384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</row>
    <row r="21" spans="1:49" s="36" customFormat="1" ht="15" customHeight="1" x14ac:dyDescent="0.2">
      <c r="A21" s="385"/>
      <c r="B21" s="191"/>
      <c r="C21" s="191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</row>
    <row r="22" spans="1:49" s="36" customFormat="1" ht="15" customHeight="1" x14ac:dyDescent="0.2">
      <c r="A22" s="203"/>
      <c r="B22" s="203"/>
      <c r="C22" s="203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</row>
    <row r="23" spans="1:49" s="36" customFormat="1" ht="15" customHeight="1" x14ac:dyDescent="0.2">
      <c r="A23" s="139"/>
      <c r="B23" s="165"/>
      <c r="C23" s="215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</row>
    <row r="24" spans="1:49" s="36" customFormat="1" ht="15" customHeight="1" x14ac:dyDescent="0.2">
      <c r="A24" s="139"/>
      <c r="B24" s="165"/>
      <c r="C24" s="215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</row>
    <row r="25" spans="1:49" s="36" customFormat="1" ht="15" customHeight="1" x14ac:dyDescent="0.2">
      <c r="A25" s="139"/>
      <c r="B25" s="165"/>
      <c r="C25" s="215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</row>
    <row r="26" spans="1:49" s="36" customFormat="1" ht="15" customHeight="1" x14ac:dyDescent="0.2">
      <c r="A26" s="139"/>
      <c r="B26" s="165"/>
      <c r="C26" s="215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</row>
    <row r="27" spans="1:49" s="36" customFormat="1" ht="15" customHeight="1" x14ac:dyDescent="0.2">
      <c r="A27" s="139"/>
      <c r="B27" s="165"/>
      <c r="C27" s="215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</row>
    <row r="28" spans="1:49" s="36" customFormat="1" ht="15" customHeight="1" x14ac:dyDescent="0.2">
      <c r="A28" s="188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</row>
    <row r="29" spans="1:49" s="36" customFormat="1" ht="15" customHeight="1" x14ac:dyDescent="0.2">
      <c r="A29" s="188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</row>
    <row r="30" spans="1:49" s="36" customFormat="1" ht="15" customHeight="1" x14ac:dyDescent="0.2">
      <c r="A30" s="188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</row>
    <row r="31" spans="1:49" s="36" customFormat="1" ht="15" customHeight="1" x14ac:dyDescent="0.2">
      <c r="A31" s="188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</row>
    <row r="32" spans="1:49" s="36" customFormat="1" ht="15" customHeight="1" x14ac:dyDescent="0.2">
      <c r="A32" s="188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</row>
    <row r="33" spans="1:49" s="36" customFormat="1" ht="15" customHeight="1" x14ac:dyDescent="0.2">
      <c r="A33" s="188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</row>
    <row r="34" spans="1:49" s="36" customFormat="1" ht="15" customHeight="1" x14ac:dyDescent="0.2">
      <c r="A34" s="188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</row>
    <row r="35" spans="1:49" s="36" customFormat="1" ht="15" customHeight="1" x14ac:dyDescent="0.2">
      <c r="A35" s="188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</row>
    <row r="36" spans="1:49" s="36" customFormat="1" ht="15" customHeight="1" x14ac:dyDescent="0.2">
      <c r="A36" s="188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</row>
    <row r="37" spans="1:49" s="36" customFormat="1" ht="15" customHeight="1" x14ac:dyDescent="0.2">
      <c r="A37" s="188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</row>
    <row r="38" spans="1:49" s="36" customFormat="1" ht="15" customHeight="1" x14ac:dyDescent="0.2">
      <c r="A38" s="188"/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</row>
    <row r="39" spans="1:49" s="36" customFormat="1" ht="15" customHeight="1" x14ac:dyDescent="0.2">
      <c r="A39" s="188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</row>
    <row r="40" spans="1:49" s="36" customFormat="1" ht="15" customHeight="1" x14ac:dyDescent="0.2">
      <c r="A40" s="188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</row>
    <row r="41" spans="1:49" s="36" customFormat="1" ht="15" customHeight="1" x14ac:dyDescent="0.2">
      <c r="A41" s="188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</row>
    <row r="42" spans="1:49" s="36" customFormat="1" ht="12" x14ac:dyDescent="0.2">
      <c r="A42" s="186"/>
      <c r="B42" s="61"/>
      <c r="C42" s="61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</row>
    <row r="43" spans="1:49" s="36" customFormat="1" ht="12" x14ac:dyDescent="0.2">
      <c r="A43" s="186"/>
      <c r="B43" s="61"/>
      <c r="C43" s="61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</row>
    <row r="44" spans="1:49" s="36" customFormat="1" ht="12" x14ac:dyDescent="0.2">
      <c r="A44" s="186"/>
      <c r="B44" s="61"/>
      <c r="C44" s="61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</row>
    <row r="45" spans="1:49" s="36" customFormat="1" ht="12" x14ac:dyDescent="0.2">
      <c r="A45" s="186"/>
      <c r="B45" s="61"/>
      <c r="C45" s="61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</row>
    <row r="46" spans="1:49" s="36" customFormat="1" ht="12" x14ac:dyDescent="0.2">
      <c r="A46" s="186"/>
      <c r="B46" s="61"/>
      <c r="C46" s="61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</row>
    <row r="47" spans="1:49" s="36" customFormat="1" ht="12" x14ac:dyDescent="0.2">
      <c r="A47" s="186"/>
      <c r="B47" s="61"/>
      <c r="C47" s="61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</row>
    <row r="48" spans="1:49" s="36" customFormat="1" ht="12" x14ac:dyDescent="0.2">
      <c r="A48" s="186"/>
      <c r="B48" s="61"/>
      <c r="C48" s="61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</row>
    <row r="49" spans="1:49" s="36" customFormat="1" ht="12" x14ac:dyDescent="0.2">
      <c r="A49" s="186"/>
      <c r="B49" s="61"/>
      <c r="C49" s="61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</row>
    <row r="50" spans="1:49" s="36" customFormat="1" ht="12" x14ac:dyDescent="0.2">
      <c r="A50" s="186"/>
      <c r="B50" s="61"/>
      <c r="C50" s="61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</row>
    <row r="51" spans="1:49" s="36" customFormat="1" ht="12" x14ac:dyDescent="0.2">
      <c r="A51" s="186"/>
      <c r="B51" s="61"/>
      <c r="C51" s="61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</row>
    <row r="52" spans="1:49" s="36" customFormat="1" ht="12" x14ac:dyDescent="0.2">
      <c r="A52" s="186"/>
      <c r="B52" s="61"/>
      <c r="C52" s="61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</row>
    <row r="53" spans="1:49" s="36" customFormat="1" ht="12" x14ac:dyDescent="0.2">
      <c r="A53" s="188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</row>
    <row r="54" spans="1:49" s="36" customFormat="1" ht="12" x14ac:dyDescent="0.2">
      <c r="A54" s="188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</row>
    <row r="55" spans="1:49" s="36" customFormat="1" ht="12" x14ac:dyDescent="0.2">
      <c r="A55" s="188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</row>
    <row r="56" spans="1:49" s="36" customFormat="1" ht="12" x14ac:dyDescent="0.2">
      <c r="A56" s="188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</row>
    <row r="57" spans="1:49" s="36" customFormat="1" ht="12" x14ac:dyDescent="0.2">
      <c r="A57" s="188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</row>
    <row r="58" spans="1:49" s="36" customFormat="1" ht="12" x14ac:dyDescent="0.2">
      <c r="A58" s="188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26"/>
    </row>
    <row r="59" spans="1:49" s="36" customFormat="1" ht="12" x14ac:dyDescent="0.2">
      <c r="A59" s="188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/>
      <c r="AQ59" s="26"/>
      <c r="AR59" s="26"/>
      <c r="AS59" s="26"/>
      <c r="AT59" s="26"/>
      <c r="AU59" s="26"/>
      <c r="AV59" s="26"/>
      <c r="AW59" s="26"/>
    </row>
    <row r="60" spans="1:49" s="36" customFormat="1" ht="12" x14ac:dyDescent="0.2">
      <c r="A60" s="188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</row>
    <row r="61" spans="1:49" s="36" customFormat="1" ht="12" x14ac:dyDescent="0.2">
      <c r="A61" s="188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</row>
    <row r="62" spans="1:49" s="36" customFormat="1" ht="12" x14ac:dyDescent="0.2">
      <c r="A62" s="188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</row>
    <row r="63" spans="1:49" s="36" customFormat="1" ht="12" x14ac:dyDescent="0.2">
      <c r="A63" s="188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</row>
    <row r="64" spans="1:49" s="36" customFormat="1" ht="12" x14ac:dyDescent="0.2">
      <c r="A64" s="188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</row>
    <row r="65" spans="1:49" s="36" customFormat="1" ht="12" x14ac:dyDescent="0.2">
      <c r="A65" s="188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</row>
    <row r="66" spans="1:49" s="36" customFormat="1" ht="12" x14ac:dyDescent="0.2">
      <c r="A66" s="188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</row>
    <row r="67" spans="1:49" s="36" customFormat="1" ht="12" x14ac:dyDescent="0.2">
      <c r="A67" s="188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</row>
    <row r="68" spans="1:49" s="36" customFormat="1" ht="12" x14ac:dyDescent="0.2">
      <c r="A68" s="188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</row>
    <row r="69" spans="1:49" s="36" customFormat="1" ht="12" x14ac:dyDescent="0.2">
      <c r="A69" s="188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</row>
    <row r="70" spans="1:49" s="36" customFormat="1" ht="12" x14ac:dyDescent="0.2">
      <c r="A70" s="188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</row>
    <row r="71" spans="1:49" s="36" customFormat="1" ht="12" x14ac:dyDescent="0.2">
      <c r="A71" s="188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</row>
    <row r="72" spans="1:49" s="36" customFormat="1" ht="12" x14ac:dyDescent="0.2">
      <c r="A72" s="188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</row>
    <row r="73" spans="1:49" s="36" customFormat="1" ht="12" x14ac:dyDescent="0.2">
      <c r="A73" s="188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</row>
    <row r="74" spans="1:49" s="36" customFormat="1" ht="12" x14ac:dyDescent="0.2">
      <c r="A74" s="188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26"/>
    </row>
    <row r="75" spans="1:49" s="36" customFormat="1" ht="12" x14ac:dyDescent="0.2">
      <c r="A75" s="188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</row>
    <row r="76" spans="1:49" s="36" customFormat="1" ht="12" x14ac:dyDescent="0.2">
      <c r="A76" s="188"/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</row>
    <row r="77" spans="1:49" s="36" customFormat="1" ht="12" x14ac:dyDescent="0.2">
      <c r="A77" s="188"/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</row>
    <row r="78" spans="1:49" s="36" customFormat="1" ht="12" x14ac:dyDescent="0.2">
      <c r="A78" s="188"/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  <c r="AS78" s="26"/>
      <c r="AT78" s="26"/>
      <c r="AU78" s="26"/>
      <c r="AV78" s="26"/>
      <c r="AW78" s="26"/>
    </row>
    <row r="79" spans="1:49" s="36" customFormat="1" ht="12" x14ac:dyDescent="0.2">
      <c r="A79" s="188"/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  <c r="AM79" s="26"/>
      <c r="AN79" s="26"/>
      <c r="AO79" s="26"/>
      <c r="AP79" s="26"/>
      <c r="AQ79" s="26"/>
      <c r="AR79" s="26"/>
      <c r="AS79" s="26"/>
      <c r="AT79" s="26"/>
      <c r="AU79" s="26"/>
      <c r="AV79" s="26"/>
      <c r="AW79" s="26"/>
    </row>
    <row r="80" spans="1:49" s="36" customFormat="1" ht="12" x14ac:dyDescent="0.2">
      <c r="A80" s="188"/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26"/>
      <c r="AI80" s="26"/>
      <c r="AJ80" s="26"/>
      <c r="AK80" s="26"/>
      <c r="AL80" s="26"/>
      <c r="AM80" s="26"/>
      <c r="AN80" s="26"/>
      <c r="AO80" s="26"/>
      <c r="AP80" s="26"/>
      <c r="AQ80" s="26"/>
      <c r="AR80" s="26"/>
      <c r="AS80" s="26"/>
      <c r="AT80" s="26"/>
      <c r="AU80" s="26"/>
      <c r="AV80" s="26"/>
      <c r="AW80" s="26"/>
    </row>
    <row r="81" spans="1:49" s="36" customFormat="1" ht="12" x14ac:dyDescent="0.2">
      <c r="A81" s="188"/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26"/>
      <c r="AM81" s="26"/>
      <c r="AN81" s="26"/>
      <c r="AO81" s="26"/>
      <c r="AP81" s="26"/>
      <c r="AQ81" s="26"/>
      <c r="AR81" s="26"/>
      <c r="AS81" s="26"/>
      <c r="AT81" s="26"/>
      <c r="AU81" s="26"/>
      <c r="AV81" s="26"/>
      <c r="AW81" s="26"/>
    </row>
    <row r="82" spans="1:49" s="36" customFormat="1" ht="12" x14ac:dyDescent="0.2">
      <c r="A82" s="188"/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  <c r="AM82" s="26"/>
      <c r="AN82" s="26"/>
      <c r="AO82" s="26"/>
      <c r="AP82" s="26"/>
      <c r="AQ82" s="26"/>
      <c r="AR82" s="26"/>
      <c r="AS82" s="26"/>
      <c r="AT82" s="26"/>
      <c r="AU82" s="26"/>
      <c r="AV82" s="26"/>
      <c r="AW82" s="26"/>
    </row>
    <row r="83" spans="1:49" s="36" customFormat="1" ht="12" x14ac:dyDescent="0.2">
      <c r="A83" s="188"/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  <c r="AM83" s="26"/>
      <c r="AN83" s="26"/>
      <c r="AO83" s="26"/>
      <c r="AP83" s="26"/>
      <c r="AQ83" s="26"/>
      <c r="AR83" s="26"/>
      <c r="AS83" s="26"/>
      <c r="AT83" s="26"/>
      <c r="AU83" s="26"/>
      <c r="AV83" s="26"/>
      <c r="AW83" s="26"/>
    </row>
  </sheetData>
  <customSheetViews>
    <customSheetView guid="{B7440494-8EA9-4463-9947-E5D20E74049D}" showGridLines="0">
      <pane xSplit="1" ySplit="10" topLeftCell="BT11" activePane="bottomRight" state="frozen"/>
      <selection pane="bottomRight" activeCell="A18" sqref="A18"/>
      <colBreaks count="4" manualBreakCount="4">
        <brk id="17" max="17" man="1"/>
        <brk id="33" max="17" man="1"/>
        <brk id="49" max="17" man="1"/>
        <brk id="65" max="17" man="1"/>
      </colBreaks>
      <pageMargins left="0" right="0" top="1.1811023622047245" bottom="0" header="0" footer="0"/>
      <printOptions horizontalCentered="1"/>
      <pageSetup paperSize="9" scale="72" orientation="landscape" r:id="rId1"/>
      <headerFooter alignWithMargins="0">
        <oddHeader>&amp;R&amp;P/&amp;N</oddHeader>
      </headerFooter>
    </customSheetView>
    <customSheetView guid="{6D89F6EF-F5AD-478F-979A-5AF1BC78EF91}" showGridLines="0">
      <pane xSplit="2" ySplit="10" topLeftCell="C11" activePane="bottomRight" state="frozen"/>
      <selection pane="bottomRight" activeCell="C11" sqref="C11"/>
      <colBreaks count="6" manualBreakCount="6">
        <brk id="16" max="17" man="1"/>
        <brk id="32" max="17" man="1"/>
        <brk id="48" max="17" man="1"/>
        <brk id="64" max="17" man="1"/>
        <brk id="80" max="17" man="1"/>
        <brk id="96" max="17" man="1"/>
      </colBreaks>
      <pageMargins left="0" right="0" top="1.1811023622047245" bottom="0" header="0" footer="0"/>
      <printOptions horizontalCentered="1"/>
      <pageSetup paperSize="9" orientation="landscape" r:id="rId2"/>
      <headerFooter alignWithMargins="0"/>
    </customSheetView>
    <customSheetView guid="{A9134056-6B1C-4A42-AFE9-9712EF3EF3D4}" showPageBreaks="1" showGridLines="0" printArea="1">
      <pane xSplit="2" ySplit="10" topLeftCell="C11" activePane="bottomRight" state="frozen"/>
      <selection pane="bottomRight" activeCell="C11" sqref="C11"/>
      <colBreaks count="8" manualBreakCount="8">
        <brk id="14" max="17" man="1"/>
        <brk id="16" max="17" man="1"/>
        <brk id="29" max="17" man="1"/>
        <brk id="32" max="17" man="1"/>
        <brk id="48" max="17" man="1"/>
        <brk id="64" max="17" man="1"/>
        <brk id="80" max="17" man="1"/>
        <brk id="96" max="17" man="1"/>
      </colBreaks>
      <pageMargins left="0" right="0" top="1.1811023622047245" bottom="0" header="0" footer="0"/>
      <printOptions horizontalCentered="1"/>
      <pageSetup paperSize="9" orientation="landscape" r:id="rId3"/>
      <headerFooter alignWithMargins="0"/>
    </customSheetView>
  </customSheetViews>
  <hyperlinks>
    <hyperlink ref="CK6" location="Índex!E9" display="Índex"/>
  </hyperlinks>
  <printOptions horizontalCentered="1" gridLinesSet="0"/>
  <pageMargins left="0" right="0" top="0.39370078740157483" bottom="0" header="0" footer="0"/>
  <pageSetup paperSize="9" orientation="landscape" r:id="rId4"/>
  <headerFooter alignWithMargins="0">
    <oddHeader>&amp;R&amp;P/&amp;N</oddHeader>
  </headerFooter>
  <colBreaks count="6" manualBreakCount="6">
    <brk id="17" max="17" man="1"/>
    <brk id="33" max="17" man="1"/>
    <brk id="49" max="17" man="1"/>
    <brk id="65" max="17" man="1"/>
    <brk id="81" max="17" man="1"/>
    <brk id="96" max="17" man="1"/>
  </colBreaks>
  <drawing r:id="rId5"/>
  <legacyDrawing r:id="rId6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2"/>
  <dimension ref="A1:HJ79"/>
  <sheetViews>
    <sheetView showGridLines="0" zoomScaleNormal="100" workbookViewId="0">
      <pane xSplit="2" ySplit="8" topLeftCell="CA9" activePane="bottomRight" state="frozen"/>
      <selection activeCell="E9" sqref="E9"/>
      <selection pane="topRight" activeCell="E9" sqref="E9"/>
      <selection pane="bottomLeft" activeCell="E9" sqref="E9"/>
      <selection pane="bottomRight" activeCell="CL6" sqref="CL6"/>
    </sheetView>
  </sheetViews>
  <sheetFormatPr defaultColWidth="12.5703125" defaultRowHeight="12.75" x14ac:dyDescent="0.2"/>
  <cols>
    <col min="1" max="1" width="42.85546875" style="26" bestFit="1" customWidth="1"/>
    <col min="2" max="2" width="15.7109375" style="26" customWidth="1"/>
    <col min="3" max="3" width="10.7109375" style="26" customWidth="1"/>
    <col min="4" max="4" width="6.7109375" style="26" customWidth="1"/>
    <col min="5" max="5" width="10.7109375" style="26" customWidth="1"/>
    <col min="6" max="6" width="6.7109375" style="26" customWidth="1"/>
    <col min="7" max="7" width="10.7109375" style="26" customWidth="1"/>
    <col min="8" max="8" width="6.7109375" style="26" customWidth="1"/>
    <col min="9" max="9" width="10.7109375" style="26" customWidth="1"/>
    <col min="10" max="10" width="6.7109375" style="26" customWidth="1"/>
    <col min="11" max="11" width="10.7109375" style="26" customWidth="1"/>
    <col min="12" max="12" width="6.7109375" style="26" customWidth="1"/>
    <col min="13" max="13" width="10.7109375" style="26" customWidth="1"/>
    <col min="14" max="14" width="6.7109375" style="26" customWidth="1"/>
    <col min="15" max="15" width="10.7109375" style="26" customWidth="1"/>
    <col min="16" max="16" width="6.7109375" style="26" customWidth="1"/>
    <col min="17" max="17" width="10.7109375" style="26" customWidth="1"/>
    <col min="18" max="18" width="6.7109375" style="26" customWidth="1"/>
    <col min="19" max="19" width="10.7109375" style="26" customWidth="1"/>
    <col min="20" max="20" width="6.7109375" style="26" customWidth="1"/>
    <col min="21" max="21" width="10.7109375" style="26" customWidth="1"/>
    <col min="22" max="22" width="6.7109375" style="26" customWidth="1"/>
    <col min="23" max="23" width="10.7109375" style="26" customWidth="1"/>
    <col min="24" max="24" width="6.7109375" style="26" customWidth="1"/>
    <col min="25" max="25" width="10.7109375" style="26" customWidth="1"/>
    <col min="26" max="26" width="6.7109375" style="26" customWidth="1"/>
    <col min="27" max="27" width="10.7109375" style="26" customWidth="1"/>
    <col min="28" max="28" width="6.7109375" style="26" customWidth="1"/>
    <col min="29" max="29" width="10.7109375" style="26" customWidth="1"/>
    <col min="30" max="30" width="6.7109375" style="26" customWidth="1"/>
    <col min="31" max="31" width="10.7109375" style="26" customWidth="1"/>
    <col min="32" max="32" width="6.7109375" style="26" customWidth="1"/>
    <col min="33" max="33" width="10.7109375" style="26" customWidth="1"/>
    <col min="34" max="34" width="6.7109375" style="26" customWidth="1"/>
    <col min="35" max="35" width="10.7109375" style="26" customWidth="1"/>
    <col min="36" max="36" width="6.7109375" style="26" customWidth="1"/>
    <col min="37" max="37" width="10.7109375" style="26" customWidth="1"/>
    <col min="38" max="38" width="6.7109375" style="26" customWidth="1"/>
    <col min="39" max="39" width="10.7109375" style="26" customWidth="1"/>
    <col min="40" max="40" width="6.7109375" style="26" customWidth="1"/>
    <col min="41" max="41" width="10.7109375" style="26" customWidth="1"/>
    <col min="42" max="42" width="6.7109375" style="26" customWidth="1"/>
    <col min="43" max="43" width="10.7109375" style="26" customWidth="1"/>
    <col min="44" max="44" width="6.7109375" style="26" customWidth="1"/>
    <col min="45" max="45" width="10.7109375" style="26" customWidth="1"/>
    <col min="46" max="46" width="6.7109375" style="26" customWidth="1"/>
    <col min="47" max="47" width="10.7109375" style="26" customWidth="1"/>
    <col min="48" max="48" width="6.7109375" style="26" customWidth="1"/>
    <col min="49" max="49" width="10.7109375" style="26" customWidth="1"/>
    <col min="50" max="50" width="6.7109375" style="26" customWidth="1"/>
    <col min="51" max="51" width="10.7109375" style="26" customWidth="1"/>
    <col min="52" max="52" width="6.7109375" style="26" customWidth="1"/>
    <col min="53" max="53" width="10.7109375" style="26" customWidth="1"/>
    <col min="54" max="54" width="6.7109375" style="26" customWidth="1"/>
    <col min="55" max="55" width="10.7109375" style="26" customWidth="1"/>
    <col min="56" max="56" width="6.7109375" style="26" customWidth="1"/>
    <col min="57" max="57" width="10.7109375" style="26" customWidth="1"/>
    <col min="58" max="58" width="6.7109375" style="26" customWidth="1"/>
    <col min="59" max="59" width="10.7109375" style="26" customWidth="1"/>
    <col min="60" max="60" width="6.7109375" style="26" customWidth="1"/>
    <col min="61" max="61" width="10.7109375" style="26" customWidth="1"/>
    <col min="62" max="62" width="6.7109375" style="26" customWidth="1"/>
    <col min="63" max="63" width="10.7109375" style="26" customWidth="1"/>
    <col min="64" max="64" width="6.7109375" style="26" customWidth="1"/>
    <col min="65" max="65" width="10.7109375" style="26" customWidth="1"/>
    <col min="66" max="66" width="6.7109375" style="26" customWidth="1"/>
    <col min="67" max="67" width="10.7109375" style="26" customWidth="1"/>
    <col min="68" max="68" width="6.7109375" style="26" customWidth="1"/>
    <col min="69" max="69" width="10.7109375" style="26" customWidth="1"/>
    <col min="70" max="70" width="6.7109375" style="26" customWidth="1"/>
    <col min="71" max="71" width="10.7109375" style="26" customWidth="1"/>
    <col min="72" max="72" width="6.7109375" style="26" customWidth="1"/>
    <col min="73" max="73" width="10.7109375" style="26" customWidth="1"/>
    <col min="74" max="74" width="6.7109375" style="26" customWidth="1"/>
    <col min="75" max="75" width="10.7109375" style="17" customWidth="1"/>
    <col min="76" max="76" width="6.7109375" style="17" customWidth="1"/>
    <col min="77" max="77" width="10.7109375" style="17" customWidth="1"/>
    <col min="78" max="78" width="6.7109375" style="17" customWidth="1"/>
    <col min="79" max="79" width="10.7109375" style="17" customWidth="1"/>
    <col min="80" max="80" width="6.7109375" style="17" customWidth="1"/>
    <col min="81" max="81" width="10.7109375" style="17" customWidth="1"/>
    <col min="82" max="82" width="6.7109375" style="17" customWidth="1"/>
    <col min="83" max="83" width="10.7109375" style="17" customWidth="1"/>
    <col min="84" max="84" width="6.7109375" style="17" customWidth="1"/>
    <col min="85" max="85" width="10.7109375" style="17" customWidth="1"/>
    <col min="86" max="86" width="6.7109375" style="17" customWidth="1"/>
    <col min="87" max="87" width="10.7109375" style="17" customWidth="1"/>
    <col min="88" max="88" width="6.7109375" style="17" customWidth="1"/>
    <col min="89" max="89" width="10.7109375" style="17" customWidth="1"/>
    <col min="90" max="90" width="6.7109375" style="17" customWidth="1"/>
    <col min="91" max="16384" width="12.5703125" style="17"/>
  </cols>
  <sheetData>
    <row r="1" spans="1:218" s="144" customFormat="1" ht="15" customHeight="1" x14ac:dyDescent="0.2">
      <c r="A1" s="139"/>
      <c r="B1" s="140"/>
      <c r="C1" s="140"/>
      <c r="D1" s="140"/>
      <c r="E1" s="140"/>
      <c r="F1" s="141"/>
      <c r="G1" s="598"/>
      <c r="H1" s="140"/>
      <c r="I1" s="140"/>
      <c r="J1" s="598"/>
      <c r="K1" s="598"/>
      <c r="L1" s="598"/>
      <c r="M1" s="598"/>
      <c r="N1" s="598"/>
      <c r="O1" s="598"/>
      <c r="P1" s="598"/>
      <c r="Q1" s="598"/>
      <c r="R1" s="598"/>
      <c r="S1" s="598"/>
      <c r="T1" s="598"/>
      <c r="U1" s="598"/>
      <c r="V1" s="598"/>
      <c r="W1" s="598"/>
      <c r="X1" s="598"/>
      <c r="Y1" s="598"/>
      <c r="Z1" s="598"/>
      <c r="AA1" s="598"/>
      <c r="AB1" s="598"/>
      <c r="AC1" s="598"/>
      <c r="AD1" s="598"/>
      <c r="AE1" s="598"/>
      <c r="AF1" s="598"/>
      <c r="AG1" s="598"/>
      <c r="AH1" s="598"/>
      <c r="AI1" s="598"/>
      <c r="AJ1" s="598"/>
      <c r="AK1" s="598"/>
      <c r="AL1" s="598"/>
      <c r="AM1" s="598"/>
      <c r="AN1" s="598"/>
      <c r="AO1" s="598"/>
      <c r="AP1" s="598"/>
      <c r="AQ1" s="598"/>
      <c r="AR1" s="598"/>
      <c r="AS1" s="143"/>
      <c r="AT1" s="598"/>
      <c r="AU1" s="143"/>
      <c r="AV1" s="598"/>
      <c r="AW1" s="143"/>
      <c r="AX1" s="598"/>
      <c r="AY1" s="143"/>
      <c r="AZ1" s="598"/>
      <c r="BA1" s="143"/>
      <c r="BB1" s="598"/>
      <c r="BC1" s="143"/>
      <c r="BD1" s="598"/>
      <c r="BE1" s="143"/>
      <c r="BF1" s="598"/>
      <c r="BG1" s="143"/>
      <c r="BH1" s="598"/>
      <c r="BI1" s="143"/>
      <c r="BJ1" s="598"/>
      <c r="BK1" s="143"/>
      <c r="BL1" s="598"/>
      <c r="BM1" s="143"/>
      <c r="BN1" s="598"/>
      <c r="BO1" s="143"/>
      <c r="BP1" s="598"/>
      <c r="BQ1" s="143"/>
      <c r="BR1" s="598"/>
      <c r="BS1" s="143"/>
      <c r="BT1" s="598"/>
      <c r="BU1" s="143"/>
      <c r="BV1" s="598"/>
      <c r="BW1" s="143"/>
      <c r="BX1" s="598"/>
      <c r="BY1" s="143"/>
      <c r="BZ1" s="141"/>
      <c r="CA1" s="141"/>
      <c r="CB1" s="598"/>
      <c r="CC1" s="143"/>
      <c r="CD1" s="140"/>
      <c r="CE1" s="140"/>
      <c r="CF1" s="140"/>
      <c r="CG1" s="140"/>
      <c r="CH1" s="140"/>
      <c r="CI1" s="140"/>
      <c r="CJ1" s="140"/>
      <c r="CK1" s="143"/>
      <c r="CL1" s="140"/>
      <c r="CM1" s="140"/>
      <c r="CN1" s="140"/>
      <c r="CO1" s="139"/>
      <c r="CP1" s="139"/>
      <c r="CQ1" s="598"/>
      <c r="CR1" s="143"/>
      <c r="CS1" s="598"/>
      <c r="CT1" s="143"/>
      <c r="CU1" s="598"/>
      <c r="CV1" s="143"/>
      <c r="CW1" s="598"/>
      <c r="CX1" s="143"/>
      <c r="CY1" s="598"/>
      <c r="CZ1" s="143"/>
      <c r="DA1" s="598"/>
      <c r="DB1" s="143"/>
      <c r="DC1" s="598"/>
      <c r="DD1" s="143"/>
      <c r="DE1" s="598"/>
      <c r="DF1" s="143"/>
      <c r="DG1" s="598"/>
      <c r="DH1" s="143"/>
      <c r="DI1" s="598"/>
      <c r="DJ1" s="143"/>
      <c r="DK1" s="598"/>
      <c r="DL1" s="143"/>
      <c r="DM1" s="598"/>
      <c r="DN1" s="143"/>
      <c r="DO1" s="598"/>
      <c r="DP1" s="143"/>
      <c r="DQ1" s="598"/>
      <c r="DR1" s="143"/>
      <c r="DS1" s="598"/>
      <c r="DT1" s="143"/>
      <c r="DU1" s="598"/>
      <c r="DV1" s="143"/>
      <c r="DW1" s="598"/>
      <c r="DX1" s="143"/>
      <c r="DY1" s="598"/>
      <c r="DZ1" s="143"/>
      <c r="EA1" s="598"/>
      <c r="EB1" s="143"/>
      <c r="EC1" s="598"/>
      <c r="ED1" s="143"/>
      <c r="EE1" s="141"/>
      <c r="EF1" s="141"/>
      <c r="EG1" s="598"/>
      <c r="EH1" s="143"/>
      <c r="EI1" s="140"/>
      <c r="EJ1" s="140"/>
      <c r="EK1" s="140"/>
      <c r="EL1" s="140"/>
      <c r="EM1" s="140"/>
      <c r="EN1" s="143"/>
      <c r="EO1" s="140"/>
      <c r="EP1" s="143"/>
      <c r="EQ1" s="140"/>
      <c r="ER1" s="140"/>
      <c r="ES1" s="140"/>
      <c r="ET1" s="139"/>
      <c r="EU1" s="139"/>
      <c r="EV1" s="598"/>
      <c r="EW1" s="143"/>
      <c r="EX1" s="598"/>
      <c r="EY1" s="143"/>
      <c r="EZ1" s="598"/>
      <c r="FA1" s="143"/>
      <c r="FB1" s="598"/>
      <c r="FC1" s="143"/>
      <c r="FD1" s="598"/>
      <c r="FE1" s="143"/>
      <c r="FF1" s="598"/>
      <c r="FG1" s="143"/>
      <c r="FH1" s="598"/>
      <c r="FI1" s="143"/>
      <c r="FJ1" s="598"/>
      <c r="FK1" s="143"/>
      <c r="FL1" s="598"/>
      <c r="FM1" s="143"/>
      <c r="FN1" s="598"/>
      <c r="FO1" s="143"/>
      <c r="FP1" s="598"/>
      <c r="FQ1" s="143"/>
      <c r="FR1" s="598"/>
      <c r="FS1" s="143"/>
      <c r="FT1" s="598"/>
      <c r="FU1" s="143"/>
      <c r="FV1" s="598"/>
      <c r="FW1" s="143"/>
      <c r="FX1" s="598"/>
      <c r="FY1" s="143"/>
      <c r="FZ1" s="598"/>
      <c r="GA1" s="143"/>
      <c r="GB1" s="598"/>
      <c r="GC1" s="143"/>
      <c r="GD1" s="598"/>
      <c r="GE1" s="143"/>
      <c r="GF1" s="598"/>
      <c r="GG1" s="143"/>
      <c r="GH1" s="598"/>
      <c r="GI1" s="143"/>
      <c r="GJ1" s="141"/>
      <c r="GK1" s="141"/>
      <c r="GL1" s="598"/>
      <c r="GM1" s="143"/>
      <c r="GN1" s="140"/>
      <c r="GO1" s="140"/>
      <c r="GP1" s="140"/>
      <c r="GQ1" s="140"/>
      <c r="GR1" s="140"/>
      <c r="GS1" s="143"/>
      <c r="GT1" s="140"/>
      <c r="GU1" s="143"/>
      <c r="GV1" s="140"/>
      <c r="GW1" s="140"/>
      <c r="GX1" s="140"/>
      <c r="GY1" s="139"/>
      <c r="GZ1" s="139"/>
      <c r="HA1" s="598"/>
      <c r="HB1" s="143"/>
      <c r="HC1" s="598"/>
      <c r="HD1" s="143"/>
      <c r="HE1" s="598"/>
      <c r="HF1" s="143"/>
      <c r="HG1" s="598"/>
      <c r="HH1" s="143"/>
      <c r="HI1" s="598"/>
      <c r="HJ1" s="143"/>
    </row>
    <row r="2" spans="1:218" s="144" customFormat="1" ht="15" customHeight="1" x14ac:dyDescent="0.2">
      <c r="A2" s="139"/>
      <c r="B2" s="140"/>
      <c r="C2" s="140"/>
      <c r="D2" s="140"/>
      <c r="E2" s="140"/>
      <c r="F2" s="141"/>
      <c r="G2" s="598"/>
      <c r="H2" s="140"/>
      <c r="I2" s="140"/>
      <c r="J2" s="598"/>
      <c r="K2" s="598"/>
      <c r="L2" s="598"/>
      <c r="M2" s="598"/>
      <c r="N2" s="598"/>
      <c r="O2" s="598"/>
      <c r="P2" s="598"/>
      <c r="Q2" s="598"/>
      <c r="R2" s="598"/>
      <c r="S2" s="598"/>
      <c r="T2" s="598"/>
      <c r="U2" s="598"/>
      <c r="V2" s="598"/>
      <c r="W2" s="598"/>
      <c r="X2" s="598"/>
      <c r="Y2" s="598"/>
      <c r="Z2" s="598"/>
      <c r="AA2" s="598"/>
      <c r="AB2" s="598"/>
      <c r="AC2" s="598"/>
      <c r="AD2" s="598"/>
      <c r="AE2" s="598"/>
      <c r="AF2" s="598"/>
      <c r="AG2" s="598"/>
      <c r="AH2" s="598"/>
      <c r="AI2" s="598"/>
      <c r="AJ2" s="598"/>
      <c r="AK2" s="598"/>
      <c r="AL2" s="598"/>
      <c r="AM2" s="598"/>
      <c r="AN2" s="598"/>
      <c r="AO2" s="598"/>
      <c r="AP2" s="598"/>
      <c r="AQ2" s="598"/>
      <c r="AR2" s="598"/>
      <c r="AS2" s="143"/>
      <c r="AT2" s="598"/>
      <c r="AU2" s="143"/>
      <c r="AV2" s="598"/>
      <c r="AW2" s="143"/>
      <c r="AX2" s="598"/>
      <c r="AY2" s="143"/>
      <c r="AZ2" s="598"/>
      <c r="BA2" s="143"/>
      <c r="BB2" s="598"/>
      <c r="BC2" s="143"/>
      <c r="BD2" s="598"/>
      <c r="BE2" s="143"/>
      <c r="BF2" s="598"/>
      <c r="BG2" s="143"/>
      <c r="BH2" s="598"/>
      <c r="BI2" s="143"/>
      <c r="BJ2" s="598"/>
      <c r="BK2" s="143"/>
      <c r="BL2" s="598"/>
      <c r="BM2" s="143"/>
      <c r="BN2" s="598"/>
      <c r="BO2" s="143"/>
      <c r="BP2" s="598"/>
      <c r="BQ2" s="143"/>
      <c r="BR2" s="598"/>
      <c r="BS2" s="143"/>
      <c r="BT2" s="598"/>
      <c r="BU2" s="143"/>
      <c r="BV2" s="598"/>
      <c r="BW2" s="143"/>
      <c r="BX2" s="598"/>
      <c r="BY2" s="143"/>
      <c r="BZ2" s="141"/>
      <c r="CA2" s="141"/>
      <c r="CB2" s="598"/>
      <c r="CC2" s="143"/>
      <c r="CD2" s="140"/>
      <c r="CE2" s="140"/>
      <c r="CF2" s="140"/>
      <c r="CG2" s="140"/>
      <c r="CH2" s="140"/>
      <c r="CI2" s="140"/>
      <c r="CJ2" s="140"/>
      <c r="CK2" s="143"/>
      <c r="CL2" s="140"/>
      <c r="CM2" s="140"/>
      <c r="CN2" s="140"/>
      <c r="CO2" s="139"/>
      <c r="CP2" s="139"/>
      <c r="CQ2" s="598"/>
      <c r="CR2" s="143"/>
      <c r="CS2" s="598"/>
      <c r="CT2" s="143"/>
      <c r="CU2" s="598"/>
      <c r="CV2" s="143"/>
      <c r="CW2" s="598"/>
      <c r="CX2" s="143"/>
      <c r="CY2" s="598"/>
      <c r="CZ2" s="143"/>
      <c r="DA2" s="598"/>
      <c r="DB2" s="143"/>
      <c r="DC2" s="598"/>
      <c r="DD2" s="143"/>
      <c r="DE2" s="598"/>
      <c r="DF2" s="143"/>
      <c r="DG2" s="598"/>
      <c r="DH2" s="143"/>
      <c r="DI2" s="598"/>
      <c r="DJ2" s="143"/>
      <c r="DK2" s="598"/>
      <c r="DL2" s="143"/>
      <c r="DM2" s="598"/>
      <c r="DN2" s="143"/>
      <c r="DO2" s="598"/>
      <c r="DP2" s="143"/>
      <c r="DQ2" s="598"/>
      <c r="DR2" s="143"/>
      <c r="DS2" s="598"/>
      <c r="DT2" s="143"/>
      <c r="DU2" s="598"/>
      <c r="DV2" s="143"/>
      <c r="DW2" s="598"/>
      <c r="DX2" s="143"/>
      <c r="DY2" s="598"/>
      <c r="DZ2" s="143"/>
      <c r="EA2" s="598"/>
      <c r="EB2" s="143"/>
      <c r="EC2" s="598"/>
      <c r="ED2" s="143"/>
      <c r="EE2" s="141"/>
      <c r="EF2" s="141"/>
      <c r="EG2" s="598"/>
      <c r="EH2" s="143"/>
      <c r="EI2" s="140"/>
      <c r="EJ2" s="140"/>
      <c r="EK2" s="140"/>
      <c r="EL2" s="140"/>
      <c r="EM2" s="140"/>
      <c r="EN2" s="143"/>
      <c r="EO2" s="140"/>
      <c r="EP2" s="143"/>
      <c r="EQ2" s="140"/>
      <c r="ER2" s="140"/>
      <c r="ES2" s="140"/>
      <c r="ET2" s="139"/>
      <c r="EU2" s="139"/>
      <c r="EV2" s="598"/>
      <c r="EW2" s="143"/>
      <c r="EX2" s="598"/>
      <c r="EY2" s="143"/>
      <c r="EZ2" s="598"/>
      <c r="FA2" s="143"/>
      <c r="FB2" s="598"/>
      <c r="FC2" s="143"/>
      <c r="FD2" s="598"/>
      <c r="FE2" s="143"/>
      <c r="FF2" s="598"/>
      <c r="FG2" s="143"/>
      <c r="FH2" s="598"/>
      <c r="FI2" s="143"/>
      <c r="FJ2" s="598"/>
      <c r="FK2" s="143"/>
      <c r="FL2" s="598"/>
      <c r="FM2" s="143"/>
      <c r="FN2" s="598"/>
      <c r="FO2" s="143"/>
      <c r="FP2" s="598"/>
      <c r="FQ2" s="143"/>
      <c r="FR2" s="598"/>
      <c r="FS2" s="143"/>
      <c r="FT2" s="598"/>
      <c r="FU2" s="143"/>
      <c r="FV2" s="598"/>
      <c r="FW2" s="143"/>
      <c r="FX2" s="598"/>
      <c r="FY2" s="143"/>
      <c r="FZ2" s="598"/>
      <c r="GA2" s="143"/>
      <c r="GB2" s="598"/>
      <c r="GC2" s="143"/>
      <c r="GD2" s="598"/>
      <c r="GE2" s="143"/>
      <c r="GF2" s="598"/>
      <c r="GG2" s="143"/>
      <c r="GH2" s="598"/>
      <c r="GI2" s="143"/>
      <c r="GJ2" s="141"/>
      <c r="GK2" s="141"/>
      <c r="GL2" s="598"/>
      <c r="GM2" s="143"/>
      <c r="GN2" s="140"/>
      <c r="GO2" s="140"/>
      <c r="GP2" s="140"/>
      <c r="GQ2" s="140"/>
      <c r="GR2" s="140"/>
      <c r="GS2" s="143"/>
      <c r="GT2" s="140"/>
      <c r="GU2" s="143"/>
      <c r="GV2" s="140"/>
      <c r="GW2" s="140"/>
      <c r="GX2" s="140"/>
      <c r="GY2" s="139"/>
      <c r="GZ2" s="139"/>
      <c r="HA2" s="598"/>
      <c r="HB2" s="143"/>
      <c r="HC2" s="598"/>
      <c r="HD2" s="143"/>
      <c r="HE2" s="598"/>
      <c r="HF2" s="143"/>
      <c r="HG2" s="598"/>
      <c r="HH2" s="143"/>
      <c r="HI2" s="598"/>
      <c r="HJ2" s="143"/>
    </row>
    <row r="3" spans="1:218" s="144" customFormat="1" ht="15" customHeight="1" x14ac:dyDescent="0.2">
      <c r="A3" s="139"/>
      <c r="B3" s="140"/>
      <c r="C3" s="140"/>
      <c r="D3" s="140"/>
      <c r="E3" s="140"/>
      <c r="F3" s="141"/>
      <c r="G3" s="598"/>
      <c r="H3" s="140"/>
      <c r="I3" s="140"/>
      <c r="J3" s="598"/>
      <c r="K3" s="598"/>
      <c r="L3" s="598"/>
      <c r="M3" s="598"/>
      <c r="N3" s="598"/>
      <c r="O3" s="598"/>
      <c r="P3" s="598"/>
      <c r="Q3" s="598"/>
      <c r="R3" s="598"/>
      <c r="S3" s="598"/>
      <c r="T3" s="598"/>
      <c r="U3" s="598"/>
      <c r="V3" s="598"/>
      <c r="W3" s="598"/>
      <c r="X3" s="598"/>
      <c r="Y3" s="598"/>
      <c r="Z3" s="598"/>
      <c r="AA3" s="598"/>
      <c r="AB3" s="598"/>
      <c r="AC3" s="598"/>
      <c r="AD3" s="598"/>
      <c r="AE3" s="598"/>
      <c r="AF3" s="598"/>
      <c r="AG3" s="598"/>
      <c r="AH3" s="598"/>
      <c r="AI3" s="598"/>
      <c r="AJ3" s="598"/>
      <c r="AK3" s="598"/>
      <c r="AL3" s="598"/>
      <c r="AM3" s="598"/>
      <c r="AN3" s="598"/>
      <c r="AO3" s="598"/>
      <c r="AP3" s="598"/>
      <c r="AQ3" s="598"/>
      <c r="AR3" s="598"/>
      <c r="AS3" s="143"/>
      <c r="AT3" s="598"/>
      <c r="AU3" s="143"/>
      <c r="AV3" s="598"/>
      <c r="AW3" s="143"/>
      <c r="AX3" s="598"/>
      <c r="AY3" s="143"/>
      <c r="AZ3" s="598"/>
      <c r="BA3" s="143"/>
      <c r="BB3" s="598"/>
      <c r="BC3" s="143"/>
      <c r="BD3" s="598"/>
      <c r="BE3" s="143"/>
      <c r="BF3" s="598"/>
      <c r="BG3" s="143"/>
      <c r="BH3" s="598"/>
      <c r="BI3" s="143"/>
      <c r="BJ3" s="598"/>
      <c r="BK3" s="143"/>
      <c r="BL3" s="598"/>
      <c r="BM3" s="143"/>
      <c r="BN3" s="598"/>
      <c r="BO3" s="143"/>
      <c r="BP3" s="598"/>
      <c r="BQ3" s="143"/>
      <c r="BR3" s="598"/>
      <c r="BS3" s="143"/>
      <c r="BT3" s="598"/>
      <c r="BU3" s="143"/>
      <c r="BV3" s="598"/>
      <c r="BW3" s="143"/>
      <c r="BX3" s="598"/>
      <c r="BY3" s="143"/>
      <c r="BZ3" s="141"/>
      <c r="CA3" s="141"/>
      <c r="CB3" s="598"/>
      <c r="CC3" s="143"/>
      <c r="CD3" s="140"/>
      <c r="CE3" s="140"/>
      <c r="CF3" s="140"/>
      <c r="CG3" s="140"/>
      <c r="CH3" s="140"/>
      <c r="CI3" s="140"/>
      <c r="CJ3" s="140"/>
      <c r="CK3" s="143"/>
      <c r="CL3" s="140"/>
      <c r="CM3" s="140"/>
      <c r="CN3" s="140"/>
      <c r="CO3" s="139"/>
      <c r="CP3" s="139"/>
      <c r="CQ3" s="598"/>
      <c r="CR3" s="143"/>
      <c r="CS3" s="598"/>
      <c r="CT3" s="143"/>
      <c r="CU3" s="598"/>
      <c r="CV3" s="143"/>
      <c r="CW3" s="598"/>
      <c r="CX3" s="143"/>
      <c r="CY3" s="598"/>
      <c r="CZ3" s="143"/>
      <c r="DA3" s="598"/>
      <c r="DB3" s="143"/>
      <c r="DC3" s="598"/>
      <c r="DD3" s="143"/>
      <c r="DE3" s="598"/>
      <c r="DF3" s="143"/>
      <c r="DG3" s="598"/>
      <c r="DH3" s="143"/>
      <c r="DI3" s="598"/>
      <c r="DJ3" s="143"/>
      <c r="DK3" s="598"/>
      <c r="DL3" s="143"/>
      <c r="DM3" s="598"/>
      <c r="DN3" s="143"/>
      <c r="DO3" s="598"/>
      <c r="DP3" s="143"/>
      <c r="DQ3" s="598"/>
      <c r="DR3" s="143"/>
      <c r="DS3" s="598"/>
      <c r="DT3" s="143"/>
      <c r="DU3" s="598"/>
      <c r="DV3" s="143"/>
      <c r="DW3" s="598"/>
      <c r="DX3" s="143"/>
      <c r="DY3" s="598"/>
      <c r="DZ3" s="143"/>
      <c r="EA3" s="598"/>
      <c r="EB3" s="143"/>
      <c r="EC3" s="598"/>
      <c r="ED3" s="143"/>
      <c r="EE3" s="141"/>
      <c r="EF3" s="141"/>
      <c r="EG3" s="598"/>
      <c r="EH3" s="143"/>
      <c r="EI3" s="140"/>
      <c r="EJ3" s="140"/>
      <c r="EK3" s="140"/>
      <c r="EL3" s="140"/>
      <c r="EM3" s="140"/>
      <c r="EN3" s="143"/>
      <c r="EO3" s="140"/>
      <c r="EP3" s="143"/>
      <c r="EQ3" s="140"/>
      <c r="ER3" s="140"/>
      <c r="ES3" s="140"/>
      <c r="ET3" s="139"/>
      <c r="EU3" s="139"/>
      <c r="EV3" s="598"/>
      <c r="EW3" s="143"/>
      <c r="EX3" s="598"/>
      <c r="EY3" s="143"/>
      <c r="EZ3" s="598"/>
      <c r="FA3" s="143"/>
      <c r="FB3" s="598"/>
      <c r="FC3" s="143"/>
      <c r="FD3" s="598"/>
      <c r="FE3" s="143"/>
      <c r="FF3" s="598"/>
      <c r="FG3" s="143"/>
      <c r="FH3" s="598"/>
      <c r="FI3" s="143"/>
      <c r="FJ3" s="598"/>
      <c r="FK3" s="143"/>
      <c r="FL3" s="598"/>
      <c r="FM3" s="143"/>
      <c r="FN3" s="598"/>
      <c r="FO3" s="143"/>
      <c r="FP3" s="598"/>
      <c r="FQ3" s="143"/>
      <c r="FR3" s="598"/>
      <c r="FS3" s="143"/>
      <c r="FT3" s="598"/>
      <c r="FU3" s="143"/>
      <c r="FV3" s="598"/>
      <c r="FW3" s="143"/>
      <c r="FX3" s="598"/>
      <c r="FY3" s="143"/>
      <c r="FZ3" s="598"/>
      <c r="GA3" s="143"/>
      <c r="GB3" s="598"/>
      <c r="GC3" s="143"/>
      <c r="GD3" s="598"/>
      <c r="GE3" s="143"/>
      <c r="GF3" s="598"/>
      <c r="GG3" s="143"/>
      <c r="GH3" s="598"/>
      <c r="GI3" s="143"/>
      <c r="GJ3" s="141"/>
      <c r="GK3" s="141"/>
      <c r="GL3" s="598"/>
      <c r="GM3" s="143"/>
      <c r="GN3" s="140"/>
      <c r="GO3" s="140"/>
      <c r="GP3" s="140"/>
      <c r="GQ3" s="140"/>
      <c r="GR3" s="140"/>
      <c r="GS3" s="143"/>
      <c r="GT3" s="140"/>
      <c r="GU3" s="143"/>
      <c r="GV3" s="140"/>
      <c r="GW3" s="140"/>
      <c r="GX3" s="140"/>
      <c r="GY3" s="139"/>
      <c r="GZ3" s="139"/>
      <c r="HA3" s="598"/>
      <c r="HB3" s="143"/>
      <c r="HC3" s="598"/>
      <c r="HD3" s="143"/>
      <c r="HE3" s="598"/>
      <c r="HF3" s="143"/>
      <c r="HG3" s="598"/>
      <c r="HH3" s="143"/>
      <c r="HI3" s="598"/>
      <c r="HJ3" s="143"/>
    </row>
    <row r="4" spans="1:218" s="144" customFormat="1" ht="15" customHeight="1" x14ac:dyDescent="0.2">
      <c r="A4" s="145"/>
      <c r="B4" s="146"/>
      <c r="C4" s="146"/>
      <c r="D4" s="146"/>
      <c r="E4" s="146"/>
      <c r="F4" s="147"/>
      <c r="G4" s="604"/>
      <c r="H4" s="146"/>
      <c r="I4" s="146"/>
      <c r="J4" s="604"/>
      <c r="K4" s="604"/>
      <c r="L4" s="604"/>
      <c r="M4" s="604"/>
      <c r="N4" s="604"/>
      <c r="O4" s="604"/>
      <c r="P4" s="604"/>
      <c r="Q4" s="604"/>
      <c r="R4" s="604"/>
      <c r="S4" s="604"/>
      <c r="T4" s="604"/>
      <c r="U4" s="604"/>
      <c r="V4" s="604"/>
      <c r="W4" s="604"/>
      <c r="X4" s="604"/>
      <c r="Y4" s="604"/>
      <c r="Z4" s="604"/>
      <c r="AA4" s="604"/>
      <c r="AB4" s="604"/>
      <c r="AC4" s="604"/>
      <c r="AD4" s="604"/>
      <c r="AE4" s="604"/>
      <c r="AF4" s="604"/>
      <c r="AG4" s="604"/>
      <c r="AH4" s="149"/>
      <c r="AI4" s="149"/>
      <c r="AJ4" s="149"/>
      <c r="AK4" s="150"/>
      <c r="AL4" s="150"/>
      <c r="AM4" s="150"/>
      <c r="AN4" s="150"/>
      <c r="AO4" s="150"/>
      <c r="AP4" s="150"/>
      <c r="AQ4" s="150"/>
      <c r="AR4" s="150"/>
    </row>
    <row r="5" spans="1:218" s="25" customFormat="1" ht="15" customHeight="1" thickBot="1" x14ac:dyDescent="0.35">
      <c r="A5" s="190" t="s">
        <v>110</v>
      </c>
      <c r="B5" s="61"/>
      <c r="C5" s="59"/>
      <c r="D5" s="61"/>
      <c r="E5" s="59"/>
      <c r="F5" s="114"/>
      <c r="G5" s="59"/>
      <c r="H5" s="665"/>
      <c r="I5" s="59"/>
      <c r="J5" s="59"/>
      <c r="K5" s="59"/>
      <c r="L5" s="59"/>
      <c r="M5" s="59"/>
      <c r="N5" s="59"/>
      <c r="O5" s="59"/>
      <c r="P5" s="59"/>
      <c r="Q5" s="59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59"/>
      <c r="BR5" s="59"/>
      <c r="BS5" s="59"/>
      <c r="BT5" s="59"/>
      <c r="BU5" s="59"/>
      <c r="BW5" s="114"/>
      <c r="CA5" s="114"/>
      <c r="CC5" s="134"/>
      <c r="CE5" s="134"/>
      <c r="CG5" s="134"/>
      <c r="CI5" s="134"/>
      <c r="CK5" s="134"/>
      <c r="CM5" s="194"/>
      <c r="CN5" s="194"/>
    </row>
    <row r="6" spans="1:218" ht="15" customHeight="1" thickTop="1" x14ac:dyDescent="0.3">
      <c r="A6" s="18"/>
      <c r="B6" s="18"/>
      <c r="D6" s="113"/>
      <c r="E6" s="114"/>
      <c r="F6" s="113"/>
      <c r="G6" s="114"/>
      <c r="H6" s="113"/>
      <c r="I6" s="730"/>
      <c r="J6" s="730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X6" s="114"/>
      <c r="CB6" s="114"/>
      <c r="CD6" s="379"/>
      <c r="CF6" s="400"/>
      <c r="CH6" s="400"/>
      <c r="CJ6" s="400"/>
      <c r="CL6" s="400" t="s">
        <v>662</v>
      </c>
    </row>
    <row r="7" spans="1:218" s="183" customFormat="1" ht="15" customHeight="1" x14ac:dyDescent="0.2">
      <c r="A7" s="182"/>
      <c r="B7" s="182"/>
      <c r="C7" s="729" t="s">
        <v>35</v>
      </c>
      <c r="D7" s="729"/>
      <c r="E7" s="729" t="s">
        <v>36</v>
      </c>
      <c r="F7" s="729"/>
      <c r="G7" s="729" t="s">
        <v>321</v>
      </c>
      <c r="H7" s="729"/>
      <c r="I7" s="729" t="s">
        <v>331</v>
      </c>
      <c r="J7" s="729"/>
      <c r="K7" s="729" t="s">
        <v>37</v>
      </c>
      <c r="L7" s="729"/>
      <c r="M7" s="729" t="s">
        <v>38</v>
      </c>
      <c r="N7" s="729"/>
      <c r="O7" s="729" t="s">
        <v>322</v>
      </c>
      <c r="P7" s="729"/>
      <c r="Q7" s="729" t="s">
        <v>332</v>
      </c>
      <c r="R7" s="729"/>
      <c r="S7" s="729" t="s">
        <v>39</v>
      </c>
      <c r="T7" s="729"/>
      <c r="U7" s="729" t="s">
        <v>40</v>
      </c>
      <c r="V7" s="729"/>
      <c r="W7" s="729" t="s">
        <v>323</v>
      </c>
      <c r="X7" s="729"/>
      <c r="Y7" s="729" t="s">
        <v>333</v>
      </c>
      <c r="Z7" s="729"/>
      <c r="AA7" s="729" t="s">
        <v>41</v>
      </c>
      <c r="AB7" s="729"/>
      <c r="AC7" s="729" t="s">
        <v>42</v>
      </c>
      <c r="AD7" s="729"/>
      <c r="AE7" s="729" t="s">
        <v>324</v>
      </c>
      <c r="AF7" s="729"/>
      <c r="AG7" s="729" t="s">
        <v>334</v>
      </c>
      <c r="AH7" s="729"/>
      <c r="AI7" s="729" t="s">
        <v>43</v>
      </c>
      <c r="AJ7" s="729"/>
      <c r="AK7" s="729" t="s">
        <v>44</v>
      </c>
      <c r="AL7" s="729"/>
      <c r="AM7" s="729" t="s">
        <v>325</v>
      </c>
      <c r="AN7" s="729"/>
      <c r="AO7" s="729" t="s">
        <v>335</v>
      </c>
      <c r="AP7" s="729"/>
      <c r="AQ7" s="729" t="s">
        <v>45</v>
      </c>
      <c r="AR7" s="729"/>
      <c r="AS7" s="729" t="s">
        <v>46</v>
      </c>
      <c r="AT7" s="729"/>
      <c r="AU7" s="729" t="s">
        <v>326</v>
      </c>
      <c r="AV7" s="729"/>
      <c r="AW7" s="729" t="s">
        <v>336</v>
      </c>
      <c r="AX7" s="729"/>
      <c r="AY7" s="729" t="s">
        <v>47</v>
      </c>
      <c r="AZ7" s="729"/>
      <c r="BA7" s="729" t="s">
        <v>48</v>
      </c>
      <c r="BB7" s="729"/>
      <c r="BC7" s="729" t="s">
        <v>327</v>
      </c>
      <c r="BD7" s="729"/>
      <c r="BE7" s="729" t="s">
        <v>337</v>
      </c>
      <c r="BF7" s="729"/>
      <c r="BG7" s="729" t="s">
        <v>49</v>
      </c>
      <c r="BH7" s="729"/>
      <c r="BI7" s="729" t="s">
        <v>50</v>
      </c>
      <c r="BJ7" s="729"/>
      <c r="BK7" s="729" t="s">
        <v>328</v>
      </c>
      <c r="BL7" s="729"/>
      <c r="BM7" s="729" t="s">
        <v>338</v>
      </c>
      <c r="BN7" s="729"/>
      <c r="BO7" s="729" t="s">
        <v>51</v>
      </c>
      <c r="BP7" s="729"/>
      <c r="BQ7" s="729" t="s">
        <v>52</v>
      </c>
      <c r="BR7" s="729"/>
      <c r="BS7" s="729" t="s">
        <v>329</v>
      </c>
      <c r="BT7" s="729"/>
      <c r="BU7" s="729" t="s">
        <v>339</v>
      </c>
      <c r="BV7" s="729"/>
      <c r="BW7" s="729" t="s">
        <v>53</v>
      </c>
      <c r="BX7" s="729"/>
      <c r="BY7" s="729" t="s">
        <v>54</v>
      </c>
      <c r="BZ7" s="729"/>
      <c r="CA7" s="729" t="s">
        <v>330</v>
      </c>
      <c r="CB7" s="729"/>
      <c r="CC7" s="729" t="s">
        <v>340</v>
      </c>
      <c r="CD7" s="729"/>
      <c r="CE7" s="729" t="s">
        <v>71</v>
      </c>
      <c r="CF7" s="729"/>
      <c r="CG7" s="729" t="s">
        <v>374</v>
      </c>
      <c r="CH7" s="729"/>
      <c r="CI7" s="729" t="s">
        <v>376</v>
      </c>
      <c r="CJ7" s="729"/>
      <c r="CK7" s="729" t="s">
        <v>399</v>
      </c>
      <c r="CL7" s="729"/>
    </row>
    <row r="8" spans="1:218" s="178" customFormat="1" ht="5.0999999999999996" customHeight="1" x14ac:dyDescent="0.2">
      <c r="A8" s="184"/>
      <c r="B8" s="158"/>
      <c r="C8" s="158"/>
      <c r="D8" s="158"/>
      <c r="E8" s="158"/>
      <c r="F8" s="158"/>
      <c r="G8" s="158"/>
      <c r="H8" s="158"/>
      <c r="I8" s="158"/>
      <c r="J8" s="158"/>
      <c r="K8" s="158"/>
      <c r="L8" s="158"/>
      <c r="M8" s="158"/>
      <c r="N8" s="158"/>
      <c r="O8" s="158"/>
      <c r="P8" s="158"/>
      <c r="Q8" s="158"/>
      <c r="R8" s="158"/>
      <c r="S8" s="158"/>
      <c r="T8" s="158"/>
      <c r="U8" s="158"/>
      <c r="V8" s="158"/>
      <c r="W8" s="158"/>
      <c r="X8" s="158"/>
      <c r="Y8" s="158"/>
      <c r="Z8" s="158"/>
      <c r="AA8" s="158"/>
      <c r="AB8" s="158"/>
      <c r="AC8" s="158"/>
      <c r="AD8" s="158"/>
      <c r="AE8" s="158"/>
      <c r="AF8" s="158"/>
      <c r="AG8" s="158"/>
      <c r="AH8" s="158"/>
      <c r="AI8" s="158"/>
      <c r="AJ8" s="158"/>
      <c r="AK8" s="158"/>
      <c r="AL8" s="158"/>
      <c r="AM8" s="158"/>
      <c r="AN8" s="158"/>
      <c r="AO8" s="158"/>
      <c r="AP8" s="158"/>
      <c r="AQ8" s="158"/>
      <c r="AR8" s="158"/>
      <c r="AS8" s="158"/>
      <c r="AT8" s="158"/>
      <c r="AU8" s="158"/>
      <c r="AV8" s="158"/>
      <c r="AW8" s="158"/>
      <c r="AX8" s="158"/>
      <c r="AY8" s="158"/>
      <c r="AZ8" s="158"/>
      <c r="BA8" s="158"/>
      <c r="BB8" s="158"/>
      <c r="BC8" s="158"/>
      <c r="BD8" s="158"/>
      <c r="BE8" s="158"/>
      <c r="BF8" s="158"/>
      <c r="BG8" s="158"/>
      <c r="BH8" s="158"/>
      <c r="BI8" s="158"/>
      <c r="BJ8" s="158"/>
      <c r="BK8" s="158"/>
      <c r="BL8" s="158"/>
      <c r="BM8" s="158"/>
      <c r="BN8" s="158"/>
      <c r="BO8" s="158"/>
      <c r="BP8" s="158"/>
      <c r="BQ8" s="158"/>
      <c r="BR8" s="158"/>
      <c r="BS8" s="158"/>
      <c r="BT8" s="158"/>
      <c r="BU8" s="158"/>
      <c r="BV8" s="158"/>
      <c r="BW8" s="158"/>
      <c r="BX8" s="158"/>
      <c r="BY8" s="158"/>
      <c r="BZ8" s="158"/>
      <c r="CA8" s="158"/>
      <c r="CB8" s="158"/>
      <c r="CC8" s="158"/>
      <c r="CD8" s="158"/>
      <c r="CE8" s="158"/>
      <c r="CF8" s="158"/>
      <c r="CG8" s="158"/>
      <c r="CH8" s="158"/>
      <c r="CI8" s="158"/>
      <c r="CJ8" s="158"/>
      <c r="CK8" s="158"/>
      <c r="CL8" s="158"/>
    </row>
    <row r="9" spans="1:218" s="149" customFormat="1" ht="36" x14ac:dyDescent="0.2">
      <c r="A9" s="581" t="s">
        <v>96</v>
      </c>
      <c r="B9" s="458" t="s">
        <v>109</v>
      </c>
      <c r="C9" s="221" t="s">
        <v>14</v>
      </c>
      <c r="D9" s="493" t="s">
        <v>31</v>
      </c>
      <c r="E9" s="221" t="s">
        <v>14</v>
      </c>
      <c r="F9" s="493" t="s">
        <v>31</v>
      </c>
      <c r="G9" s="221" t="s">
        <v>14</v>
      </c>
      <c r="H9" s="493" t="s">
        <v>31</v>
      </c>
      <c r="I9" s="221" t="s">
        <v>14</v>
      </c>
      <c r="J9" s="493" t="s">
        <v>31</v>
      </c>
      <c r="K9" s="221" t="s">
        <v>14</v>
      </c>
      <c r="L9" s="493" t="s">
        <v>31</v>
      </c>
      <c r="M9" s="221" t="s">
        <v>14</v>
      </c>
      <c r="N9" s="493" t="s">
        <v>31</v>
      </c>
      <c r="O9" s="221" t="s">
        <v>14</v>
      </c>
      <c r="P9" s="493" t="s">
        <v>31</v>
      </c>
      <c r="Q9" s="221" t="s">
        <v>14</v>
      </c>
      <c r="R9" s="493" t="s">
        <v>31</v>
      </c>
      <c r="S9" s="221" t="s">
        <v>14</v>
      </c>
      <c r="T9" s="493" t="s">
        <v>31</v>
      </c>
      <c r="U9" s="221" t="s">
        <v>14</v>
      </c>
      <c r="V9" s="493" t="s">
        <v>31</v>
      </c>
      <c r="W9" s="221" t="s">
        <v>14</v>
      </c>
      <c r="X9" s="493" t="s">
        <v>31</v>
      </c>
      <c r="Y9" s="221" t="s">
        <v>14</v>
      </c>
      <c r="Z9" s="493" t="s">
        <v>31</v>
      </c>
      <c r="AA9" s="221" t="s">
        <v>14</v>
      </c>
      <c r="AB9" s="493" t="s">
        <v>31</v>
      </c>
      <c r="AC9" s="221" t="s">
        <v>14</v>
      </c>
      <c r="AD9" s="493" t="s">
        <v>31</v>
      </c>
      <c r="AE9" s="221" t="s">
        <v>14</v>
      </c>
      <c r="AF9" s="493" t="s">
        <v>31</v>
      </c>
      <c r="AG9" s="221" t="s">
        <v>14</v>
      </c>
      <c r="AH9" s="493" t="s">
        <v>31</v>
      </c>
      <c r="AI9" s="221" t="s">
        <v>14</v>
      </c>
      <c r="AJ9" s="493" t="s">
        <v>31</v>
      </c>
      <c r="AK9" s="221" t="s">
        <v>14</v>
      </c>
      <c r="AL9" s="493" t="s">
        <v>31</v>
      </c>
      <c r="AM9" s="221" t="s">
        <v>14</v>
      </c>
      <c r="AN9" s="493" t="s">
        <v>31</v>
      </c>
      <c r="AO9" s="221" t="s">
        <v>14</v>
      </c>
      <c r="AP9" s="493" t="s">
        <v>31</v>
      </c>
      <c r="AQ9" s="221" t="s">
        <v>14</v>
      </c>
      <c r="AR9" s="493" t="s">
        <v>31</v>
      </c>
      <c r="AS9" s="221" t="s">
        <v>14</v>
      </c>
      <c r="AT9" s="493" t="s">
        <v>31</v>
      </c>
      <c r="AU9" s="221" t="s">
        <v>14</v>
      </c>
      <c r="AV9" s="493" t="s">
        <v>31</v>
      </c>
      <c r="AW9" s="221" t="s">
        <v>14</v>
      </c>
      <c r="AX9" s="493" t="s">
        <v>31</v>
      </c>
      <c r="AY9" s="221" t="s">
        <v>14</v>
      </c>
      <c r="AZ9" s="493" t="s">
        <v>31</v>
      </c>
      <c r="BA9" s="221" t="s">
        <v>14</v>
      </c>
      <c r="BB9" s="493" t="s">
        <v>31</v>
      </c>
      <c r="BC9" s="221" t="s">
        <v>14</v>
      </c>
      <c r="BD9" s="493" t="s">
        <v>31</v>
      </c>
      <c r="BE9" s="221" t="s">
        <v>14</v>
      </c>
      <c r="BF9" s="493" t="s">
        <v>31</v>
      </c>
      <c r="BG9" s="221" t="s">
        <v>14</v>
      </c>
      <c r="BH9" s="493" t="s">
        <v>31</v>
      </c>
      <c r="BI9" s="221" t="s">
        <v>14</v>
      </c>
      <c r="BJ9" s="493" t="s">
        <v>31</v>
      </c>
      <c r="BK9" s="221" t="s">
        <v>14</v>
      </c>
      <c r="BL9" s="493" t="s">
        <v>31</v>
      </c>
      <c r="BM9" s="221" t="s">
        <v>14</v>
      </c>
      <c r="BN9" s="493" t="s">
        <v>31</v>
      </c>
      <c r="BO9" s="221" t="s">
        <v>14</v>
      </c>
      <c r="BP9" s="493" t="s">
        <v>31</v>
      </c>
      <c r="BQ9" s="221" t="s">
        <v>14</v>
      </c>
      <c r="BR9" s="493" t="s">
        <v>31</v>
      </c>
      <c r="BS9" s="221" t="s">
        <v>14</v>
      </c>
      <c r="BT9" s="493" t="s">
        <v>31</v>
      </c>
      <c r="BU9" s="221" t="s">
        <v>14</v>
      </c>
      <c r="BV9" s="493" t="s">
        <v>31</v>
      </c>
      <c r="BW9" s="221" t="s">
        <v>14</v>
      </c>
      <c r="BX9" s="493" t="s">
        <v>31</v>
      </c>
      <c r="BY9" s="221" t="s">
        <v>14</v>
      </c>
      <c r="BZ9" s="493" t="s">
        <v>31</v>
      </c>
      <c r="CA9" s="221" t="s">
        <v>14</v>
      </c>
      <c r="CB9" s="493" t="s">
        <v>31</v>
      </c>
      <c r="CC9" s="404" t="s">
        <v>14</v>
      </c>
      <c r="CD9" s="493" t="s">
        <v>31</v>
      </c>
      <c r="CE9" s="404" t="s">
        <v>14</v>
      </c>
      <c r="CF9" s="552" t="s">
        <v>31</v>
      </c>
      <c r="CG9" s="404" t="s">
        <v>14</v>
      </c>
      <c r="CH9" s="552" t="s">
        <v>31</v>
      </c>
      <c r="CI9" s="404" t="s">
        <v>14</v>
      </c>
      <c r="CJ9" s="552" t="s">
        <v>31</v>
      </c>
      <c r="CK9" s="404" t="s">
        <v>14</v>
      </c>
      <c r="CL9" s="552" t="s">
        <v>31</v>
      </c>
    </row>
    <row r="10" spans="1:218" s="178" customFormat="1" ht="5.0999999999999996" customHeight="1" x14ac:dyDescent="0.2">
      <c r="A10" s="582"/>
      <c r="B10" s="203"/>
      <c r="C10" s="203"/>
      <c r="D10" s="492"/>
      <c r="E10" s="203"/>
      <c r="F10" s="492"/>
      <c r="G10" s="203"/>
      <c r="H10" s="492"/>
      <c r="I10" s="203"/>
      <c r="J10" s="492"/>
      <c r="K10" s="203"/>
      <c r="L10" s="492"/>
      <c r="M10" s="203"/>
      <c r="N10" s="492"/>
      <c r="O10" s="203"/>
      <c r="P10" s="492"/>
      <c r="Q10" s="203"/>
      <c r="R10" s="492"/>
      <c r="S10" s="203"/>
      <c r="T10" s="492"/>
      <c r="U10" s="203"/>
      <c r="V10" s="492"/>
      <c r="W10" s="203"/>
      <c r="X10" s="492"/>
      <c r="Y10" s="203"/>
      <c r="Z10" s="492"/>
      <c r="AA10" s="203"/>
      <c r="AB10" s="492"/>
      <c r="AC10" s="203"/>
      <c r="AD10" s="492"/>
      <c r="AE10" s="203"/>
      <c r="AF10" s="492"/>
      <c r="AG10" s="203"/>
      <c r="AH10" s="492"/>
      <c r="AI10" s="203"/>
      <c r="AJ10" s="492"/>
      <c r="AK10" s="203"/>
      <c r="AL10" s="492"/>
      <c r="AM10" s="203"/>
      <c r="AN10" s="492"/>
      <c r="AO10" s="203"/>
      <c r="AP10" s="492"/>
      <c r="AQ10" s="203"/>
      <c r="AR10" s="492"/>
      <c r="AS10" s="203"/>
      <c r="AT10" s="492"/>
      <c r="AU10" s="203"/>
      <c r="AV10" s="492"/>
      <c r="AW10" s="203"/>
      <c r="AX10" s="492"/>
      <c r="AY10" s="203"/>
      <c r="AZ10" s="492"/>
      <c r="BA10" s="203"/>
      <c r="BB10" s="492"/>
      <c r="BC10" s="203"/>
      <c r="BD10" s="492"/>
      <c r="BE10" s="203"/>
      <c r="BF10" s="492"/>
      <c r="BG10" s="203"/>
      <c r="BH10" s="492"/>
      <c r="BI10" s="203"/>
      <c r="BJ10" s="492"/>
      <c r="BK10" s="203"/>
      <c r="BL10" s="492"/>
      <c r="BM10" s="203"/>
      <c r="BN10" s="492"/>
      <c r="BO10" s="203"/>
      <c r="BP10" s="492"/>
      <c r="BQ10" s="203"/>
      <c r="BR10" s="492"/>
      <c r="BS10" s="203"/>
      <c r="BT10" s="492"/>
      <c r="BU10" s="203"/>
      <c r="BV10" s="492"/>
      <c r="BW10" s="203"/>
      <c r="BX10" s="492"/>
      <c r="BY10" s="203"/>
      <c r="BZ10" s="492"/>
      <c r="CA10" s="203"/>
      <c r="CB10" s="492"/>
      <c r="CC10" s="203"/>
      <c r="CD10" s="492"/>
      <c r="CE10" s="203"/>
      <c r="CF10" s="492"/>
      <c r="CG10" s="203"/>
      <c r="CH10" s="492"/>
      <c r="CI10" s="203"/>
      <c r="CJ10" s="492"/>
      <c r="CK10" s="203"/>
      <c r="CL10" s="492"/>
    </row>
    <row r="11" spans="1:218" s="192" customFormat="1" ht="15" customHeight="1" x14ac:dyDescent="0.2">
      <c r="A11" s="583" t="s">
        <v>15</v>
      </c>
      <c r="B11" s="222">
        <v>0</v>
      </c>
      <c r="C11" s="405">
        <v>0</v>
      </c>
      <c r="D11" s="494">
        <v>0</v>
      </c>
      <c r="E11" s="405">
        <v>0</v>
      </c>
      <c r="F11" s="494">
        <v>0</v>
      </c>
      <c r="G11" s="405">
        <v>0</v>
      </c>
      <c r="H11" s="494">
        <v>0</v>
      </c>
      <c r="I11" s="405">
        <v>0</v>
      </c>
      <c r="J11" s="494">
        <v>0</v>
      </c>
      <c r="K11" s="405">
        <v>0</v>
      </c>
      <c r="L11" s="494">
        <v>0</v>
      </c>
      <c r="M11" s="405">
        <v>0</v>
      </c>
      <c r="N11" s="494">
        <v>0</v>
      </c>
      <c r="O11" s="405">
        <v>0</v>
      </c>
      <c r="P11" s="494">
        <v>0</v>
      </c>
      <c r="Q11" s="405">
        <v>0</v>
      </c>
      <c r="R11" s="494">
        <v>0</v>
      </c>
      <c r="S11" s="407">
        <v>0</v>
      </c>
      <c r="T11" s="494">
        <v>0</v>
      </c>
      <c r="U11" s="407">
        <v>0</v>
      </c>
      <c r="V11" s="494">
        <v>0</v>
      </c>
      <c r="W11" s="407">
        <v>0</v>
      </c>
      <c r="X11" s="494">
        <v>0</v>
      </c>
      <c r="Y11" s="407">
        <v>0</v>
      </c>
      <c r="Z11" s="494">
        <v>0</v>
      </c>
      <c r="AA11" s="407">
        <v>0</v>
      </c>
      <c r="AB11" s="494">
        <v>0</v>
      </c>
      <c r="AC11" s="407">
        <v>0</v>
      </c>
      <c r="AD11" s="494">
        <v>0</v>
      </c>
      <c r="AE11" s="407">
        <v>0</v>
      </c>
      <c r="AF11" s="494">
        <v>0</v>
      </c>
      <c r="AG11" s="408">
        <v>0</v>
      </c>
      <c r="AH11" s="494">
        <v>0</v>
      </c>
      <c r="AI11" s="407">
        <v>0</v>
      </c>
      <c r="AJ11" s="494">
        <v>0</v>
      </c>
      <c r="AK11" s="407">
        <v>0</v>
      </c>
      <c r="AL11" s="494">
        <v>0</v>
      </c>
      <c r="AM11" s="407">
        <v>0</v>
      </c>
      <c r="AN11" s="494">
        <v>0</v>
      </c>
      <c r="AO11" s="407">
        <v>0</v>
      </c>
      <c r="AP11" s="494">
        <v>0</v>
      </c>
      <c r="AQ11" s="407">
        <v>0</v>
      </c>
      <c r="AR11" s="494">
        <v>0</v>
      </c>
      <c r="AS11" s="407">
        <v>0</v>
      </c>
      <c r="AT11" s="494">
        <v>0</v>
      </c>
      <c r="AU11" s="407">
        <v>0</v>
      </c>
      <c r="AV11" s="494">
        <v>0</v>
      </c>
      <c r="AW11" s="407">
        <v>0</v>
      </c>
      <c r="AX11" s="494">
        <v>0</v>
      </c>
      <c r="AY11" s="407">
        <v>0</v>
      </c>
      <c r="AZ11" s="494">
        <v>0</v>
      </c>
      <c r="BA11" s="407">
        <v>0</v>
      </c>
      <c r="BB11" s="494">
        <v>0</v>
      </c>
      <c r="BC11" s="407">
        <v>0</v>
      </c>
      <c r="BD11" s="494">
        <v>0</v>
      </c>
      <c r="BE11" s="407">
        <v>0</v>
      </c>
      <c r="BF11" s="494">
        <v>0</v>
      </c>
      <c r="BG11" s="407">
        <v>0</v>
      </c>
      <c r="BH11" s="494">
        <v>0</v>
      </c>
      <c r="BI11" s="407">
        <v>0</v>
      </c>
      <c r="BJ11" s="494">
        <v>0</v>
      </c>
      <c r="BK11" s="406">
        <v>0</v>
      </c>
      <c r="BL11" s="494">
        <v>0</v>
      </c>
      <c r="BM11" s="407">
        <v>0</v>
      </c>
      <c r="BN11" s="494">
        <v>0</v>
      </c>
      <c r="BO11" s="407">
        <v>0</v>
      </c>
      <c r="BP11" s="494">
        <v>0</v>
      </c>
      <c r="BQ11" s="407">
        <v>0</v>
      </c>
      <c r="BR11" s="494">
        <v>0</v>
      </c>
      <c r="BS11" s="407">
        <v>0</v>
      </c>
      <c r="BT11" s="494">
        <v>0</v>
      </c>
      <c r="BU11" s="407">
        <v>0</v>
      </c>
      <c r="BV11" s="494">
        <v>0</v>
      </c>
      <c r="BW11" s="407">
        <v>0</v>
      </c>
      <c r="BX11" s="494">
        <v>0</v>
      </c>
      <c r="BY11" s="407">
        <v>0</v>
      </c>
      <c r="BZ11" s="494">
        <v>0</v>
      </c>
      <c r="CA11" s="407">
        <v>0</v>
      </c>
      <c r="CB11" s="494">
        <v>0</v>
      </c>
      <c r="CC11" s="408">
        <v>0</v>
      </c>
      <c r="CD11" s="494">
        <v>0</v>
      </c>
      <c r="CE11" s="408">
        <v>0</v>
      </c>
      <c r="CF11" s="553">
        <v>0</v>
      </c>
      <c r="CG11" s="408">
        <v>0</v>
      </c>
      <c r="CH11" s="553">
        <v>0</v>
      </c>
      <c r="CI11" s="408">
        <v>0</v>
      </c>
      <c r="CJ11" s="553">
        <v>0</v>
      </c>
      <c r="CK11" s="409">
        <v>0</v>
      </c>
      <c r="CL11" s="702">
        <v>0</v>
      </c>
    </row>
    <row r="12" spans="1:218" s="192" customFormat="1" ht="15" customHeight="1" x14ac:dyDescent="0.2">
      <c r="A12" s="583" t="s">
        <v>16</v>
      </c>
      <c r="B12" s="222">
        <v>0.5</v>
      </c>
      <c r="C12" s="405">
        <v>231</v>
      </c>
      <c r="D12" s="495">
        <f>C12/46073*100</f>
        <v>0.50137824756364902</v>
      </c>
      <c r="E12" s="405">
        <v>250</v>
      </c>
      <c r="F12" s="495">
        <f>E12/49926*100</f>
        <v>0.50074109682329848</v>
      </c>
      <c r="G12" s="405">
        <v>275</v>
      </c>
      <c r="H12" s="495">
        <f>G12/54855*100</f>
        <v>0.50132166621091978</v>
      </c>
      <c r="I12" s="405">
        <v>306</v>
      </c>
      <c r="J12" s="495">
        <f>I12/60983*100</f>
        <v>0.50177918436285518</v>
      </c>
      <c r="K12" s="405">
        <v>317</v>
      </c>
      <c r="L12" s="495">
        <f>K12/63248*100</f>
        <v>0.50120161902352645</v>
      </c>
      <c r="M12" s="405">
        <v>326</v>
      </c>
      <c r="N12" s="495">
        <f>M12/65126*100</f>
        <v>0.50056812947210028</v>
      </c>
      <c r="O12" s="407">
        <v>371</v>
      </c>
      <c r="P12" s="495">
        <f>O12/74013*100</f>
        <v>0.50126329158391092</v>
      </c>
      <c r="Q12" s="407">
        <v>381</v>
      </c>
      <c r="R12" s="495">
        <f>Q12/76077*100</f>
        <v>0.50080839149808754</v>
      </c>
      <c r="S12" s="407">
        <v>373</v>
      </c>
      <c r="T12" s="495">
        <f>S12/74476*100</f>
        <v>0.50083248294752669</v>
      </c>
      <c r="U12" s="407">
        <v>386</v>
      </c>
      <c r="V12" s="495">
        <v>0.5</v>
      </c>
      <c r="W12" s="407">
        <v>393</v>
      </c>
      <c r="X12" s="495">
        <v>0.5</v>
      </c>
      <c r="Y12" s="407">
        <v>546</v>
      </c>
      <c r="Z12" s="495">
        <f>Y12/86156*100</f>
        <v>0.63373415664608379</v>
      </c>
      <c r="AA12" s="407">
        <v>569</v>
      </c>
      <c r="AB12" s="495">
        <f>AA12/89384*100</f>
        <v>0.63657925355768363</v>
      </c>
      <c r="AC12" s="407">
        <v>584</v>
      </c>
      <c r="AD12" s="495">
        <f>AC12/93192*100</f>
        <v>0.6266632328955275</v>
      </c>
      <c r="AE12" s="407">
        <v>608</v>
      </c>
      <c r="AF12" s="495">
        <v>0.6</v>
      </c>
      <c r="AG12" s="408">
        <v>501</v>
      </c>
      <c r="AH12" s="495">
        <f>AG12/99774*100</f>
        <v>0.50213482470383064</v>
      </c>
      <c r="AI12" s="407">
        <v>512</v>
      </c>
      <c r="AJ12" s="495">
        <f>AI12/102111*100</f>
        <v>0.50141512667587229</v>
      </c>
      <c r="AK12" s="407">
        <v>525</v>
      </c>
      <c r="AL12" s="495">
        <f>AK12/104801*100</f>
        <v>0.50094941842157992</v>
      </c>
      <c r="AM12" s="407">
        <v>542</v>
      </c>
      <c r="AN12" s="495">
        <f>AM12/108058*100</f>
        <v>0.50158248348109347</v>
      </c>
      <c r="AO12" s="407">
        <v>544</v>
      </c>
      <c r="AP12" s="495">
        <f>AO12/108359*100</f>
        <v>0.50203490250002303</v>
      </c>
      <c r="AQ12" s="407">
        <v>549</v>
      </c>
      <c r="AR12" s="495">
        <f>AQ12/109390*100</f>
        <v>0.50187402870463482</v>
      </c>
      <c r="AS12" s="407">
        <v>563</v>
      </c>
      <c r="AT12" s="495">
        <f>AS12/112241*100</f>
        <v>0.50159923735533363</v>
      </c>
      <c r="AU12" s="407">
        <v>585</v>
      </c>
      <c r="AV12" s="495">
        <f>AU12/116584*100</f>
        <v>0.50178412132024974</v>
      </c>
      <c r="AW12" s="407">
        <v>599</v>
      </c>
      <c r="AX12" s="495">
        <f>AW12/119206*100</f>
        <v>0.50249148532791976</v>
      </c>
      <c r="AY12" s="407">
        <v>605</v>
      </c>
      <c r="AZ12" s="495">
        <f>AY12/120630*100</f>
        <v>0.50153361518693529</v>
      </c>
      <c r="BA12" s="407">
        <v>645</v>
      </c>
      <c r="BB12" s="495">
        <f>BA12/128692*100</f>
        <v>0.50119665558076654</v>
      </c>
      <c r="BC12" s="407">
        <v>665</v>
      </c>
      <c r="BD12" s="495">
        <v>0.5</v>
      </c>
      <c r="BE12" s="407">
        <v>755</v>
      </c>
      <c r="BF12" s="495">
        <v>0.6</v>
      </c>
      <c r="BG12" s="407">
        <v>760</v>
      </c>
      <c r="BH12" s="495">
        <v>0.6</v>
      </c>
      <c r="BI12" s="407">
        <v>770</v>
      </c>
      <c r="BJ12" s="495">
        <v>0.6</v>
      </c>
      <c r="BK12" s="407">
        <v>785</v>
      </c>
      <c r="BL12" s="495">
        <v>0.6</v>
      </c>
      <c r="BM12" s="407">
        <v>789</v>
      </c>
      <c r="BN12" s="495">
        <v>0.6</v>
      </c>
      <c r="BO12" s="407">
        <v>746</v>
      </c>
      <c r="BP12" s="495">
        <v>0.5</v>
      </c>
      <c r="BQ12" s="407">
        <v>747</v>
      </c>
      <c r="BR12" s="495">
        <v>0.5</v>
      </c>
      <c r="BS12" s="407">
        <v>814</v>
      </c>
      <c r="BT12" s="495">
        <v>0.6</v>
      </c>
      <c r="BU12" s="407">
        <v>844</v>
      </c>
      <c r="BV12" s="495">
        <v>0.6</v>
      </c>
      <c r="BW12" s="407">
        <v>733</v>
      </c>
      <c r="BX12" s="495">
        <v>0.6</v>
      </c>
      <c r="BY12" s="407">
        <v>872</v>
      </c>
      <c r="BZ12" s="495">
        <v>0.7</v>
      </c>
      <c r="CA12" s="407">
        <v>875</v>
      </c>
      <c r="CB12" s="495">
        <v>0.8</v>
      </c>
      <c r="CC12" s="408">
        <v>836</v>
      </c>
      <c r="CD12" s="495">
        <v>0.6</v>
      </c>
      <c r="CE12" s="408">
        <v>739</v>
      </c>
      <c r="CF12" s="554">
        <v>0.6</v>
      </c>
      <c r="CG12" s="408">
        <v>698</v>
      </c>
      <c r="CH12" s="554">
        <v>0.5</v>
      </c>
      <c r="CI12" s="408">
        <v>693</v>
      </c>
      <c r="CJ12" s="554">
        <v>0.6</v>
      </c>
      <c r="CK12" s="409">
        <v>717</v>
      </c>
      <c r="CL12" s="702">
        <v>5.2590675218517858E-3</v>
      </c>
    </row>
    <row r="13" spans="1:218" s="192" customFormat="1" ht="15" customHeight="1" x14ac:dyDescent="0.2">
      <c r="A13" s="583" t="s">
        <v>17</v>
      </c>
      <c r="B13" s="222">
        <v>1</v>
      </c>
      <c r="C13" s="405">
        <v>137</v>
      </c>
      <c r="D13" s="495">
        <f>C13/10500*100</f>
        <v>1.3047619047619048</v>
      </c>
      <c r="E13" s="405">
        <v>120</v>
      </c>
      <c r="F13" s="495">
        <f>E13/11777*100</f>
        <v>1.0189352127027258</v>
      </c>
      <c r="G13" s="405">
        <v>134</v>
      </c>
      <c r="H13" s="495">
        <f>G13/13236*100</f>
        <v>1.0123904502870957</v>
      </c>
      <c r="I13" s="405">
        <v>154</v>
      </c>
      <c r="J13" s="495">
        <f>I13/15193*100</f>
        <v>1.0136246955834922</v>
      </c>
      <c r="K13" s="405">
        <v>175</v>
      </c>
      <c r="L13" s="495">
        <f>K13/17316*100</f>
        <v>1.0106260106260105</v>
      </c>
      <c r="M13" s="405">
        <v>189</v>
      </c>
      <c r="N13" s="495">
        <f>M13/18741*100</f>
        <v>1.0084840723547304</v>
      </c>
      <c r="O13" s="407">
        <v>196</v>
      </c>
      <c r="P13" s="495">
        <f>O13/19448*100</f>
        <v>1.0078157136980668</v>
      </c>
      <c r="Q13" s="407">
        <v>227</v>
      </c>
      <c r="R13" s="495">
        <f>Q13/22463*100</f>
        <v>1.0105506833459466</v>
      </c>
      <c r="S13" s="407">
        <v>221</v>
      </c>
      <c r="T13" s="495">
        <f>S13/21842*100</f>
        <v>1.0118121051185789</v>
      </c>
      <c r="U13" s="407">
        <v>215</v>
      </c>
      <c r="V13" s="495">
        <v>1</v>
      </c>
      <c r="W13" s="407">
        <v>205</v>
      </c>
      <c r="X13" s="495">
        <v>1</v>
      </c>
      <c r="Y13" s="407">
        <v>212</v>
      </c>
      <c r="Z13" s="495">
        <f>Y13/20019*100</f>
        <v>1.0589939557420451</v>
      </c>
      <c r="AA13" s="407">
        <v>226</v>
      </c>
      <c r="AB13" s="495">
        <f>AA13/21248*100</f>
        <v>1.0636295180722892</v>
      </c>
      <c r="AC13" s="407">
        <v>227</v>
      </c>
      <c r="AD13" s="495">
        <f>AC13/21181*100</f>
        <v>1.0717152164675887</v>
      </c>
      <c r="AE13" s="407">
        <v>236</v>
      </c>
      <c r="AF13" s="495">
        <v>1.1000000000000001</v>
      </c>
      <c r="AG13" s="408">
        <v>225</v>
      </c>
      <c r="AH13" s="495">
        <f>AG13/22110*100</f>
        <v>1.0176390773405699</v>
      </c>
      <c r="AI13" s="407">
        <v>240</v>
      </c>
      <c r="AJ13" s="495">
        <f>AI13/23544*100</f>
        <v>1.019367991845056</v>
      </c>
      <c r="AK13" s="407">
        <v>244</v>
      </c>
      <c r="AL13" s="495">
        <f>AK13/23871*100</f>
        <v>1.0221607808638096</v>
      </c>
      <c r="AM13" s="407">
        <v>240</v>
      </c>
      <c r="AN13" s="495">
        <f>AM13/23434*100</f>
        <v>1.024152940172399</v>
      </c>
      <c r="AO13" s="407">
        <v>402</v>
      </c>
      <c r="AP13" s="495">
        <f>AO13/39709*100</f>
        <v>1.0123649550479741</v>
      </c>
      <c r="AQ13" s="407">
        <v>396</v>
      </c>
      <c r="AR13" s="495">
        <f>AQ13/39099*100</f>
        <v>1.0128136269469807</v>
      </c>
      <c r="AS13" s="407">
        <v>397</v>
      </c>
      <c r="AT13" s="495">
        <f>AS13/39112*100</f>
        <v>1.015033749232972</v>
      </c>
      <c r="AU13" s="407">
        <v>404</v>
      </c>
      <c r="AV13" s="495">
        <f>AU13/39817*100</f>
        <v>1.0146419870909411</v>
      </c>
      <c r="AW13" s="407">
        <v>419</v>
      </c>
      <c r="AX13" s="495">
        <f>AW13/41483*100</f>
        <v>1.010052310585059</v>
      </c>
      <c r="AY13" s="407">
        <v>435</v>
      </c>
      <c r="AZ13" s="495">
        <f>AY13/43008*100</f>
        <v>1.0114397321428572</v>
      </c>
      <c r="BA13" s="407">
        <v>533</v>
      </c>
      <c r="BB13" s="495">
        <f>BA13/52843*100</f>
        <v>1.0086482599398217</v>
      </c>
      <c r="BC13" s="407">
        <v>540</v>
      </c>
      <c r="BD13" s="495">
        <v>1</v>
      </c>
      <c r="BE13" s="407">
        <v>669</v>
      </c>
      <c r="BF13" s="495">
        <v>1.1000000000000001</v>
      </c>
      <c r="BG13" s="407">
        <v>691</v>
      </c>
      <c r="BH13" s="495">
        <v>1.1000000000000001</v>
      </c>
      <c r="BI13" s="407">
        <v>696</v>
      </c>
      <c r="BJ13" s="495">
        <v>1.1000000000000001</v>
      </c>
      <c r="BK13" s="407">
        <v>740</v>
      </c>
      <c r="BL13" s="495">
        <v>1.1000000000000001</v>
      </c>
      <c r="BM13" s="407">
        <v>786</v>
      </c>
      <c r="BN13" s="495">
        <v>1.2</v>
      </c>
      <c r="BO13" s="407">
        <v>718</v>
      </c>
      <c r="BP13" s="495">
        <v>1.1000000000000001</v>
      </c>
      <c r="BQ13" s="407">
        <v>689</v>
      </c>
      <c r="BR13" s="495">
        <v>1.1000000000000001</v>
      </c>
      <c r="BS13" s="407">
        <v>747</v>
      </c>
      <c r="BT13" s="495">
        <v>1.2</v>
      </c>
      <c r="BU13" s="407">
        <v>747</v>
      </c>
      <c r="BV13" s="495">
        <v>1.2</v>
      </c>
      <c r="BW13" s="407">
        <v>668</v>
      </c>
      <c r="BX13" s="495">
        <v>1.1000000000000001</v>
      </c>
      <c r="BY13" s="407">
        <v>849</v>
      </c>
      <c r="BZ13" s="495">
        <v>1.4</v>
      </c>
      <c r="CA13" s="407">
        <v>610</v>
      </c>
      <c r="CB13" s="495">
        <v>1.7</v>
      </c>
      <c r="CC13" s="408">
        <v>1001</v>
      </c>
      <c r="CD13" s="495">
        <v>2.2000000000000002</v>
      </c>
      <c r="CE13" s="408">
        <v>535</v>
      </c>
      <c r="CF13" s="554">
        <v>1.1000000000000001</v>
      </c>
      <c r="CG13" s="408">
        <v>503</v>
      </c>
      <c r="CH13" s="554">
        <v>1.1000000000000001</v>
      </c>
      <c r="CI13" s="408">
        <v>461</v>
      </c>
      <c r="CJ13" s="554">
        <v>1.1000000000000001</v>
      </c>
      <c r="CK13" s="409">
        <v>459</v>
      </c>
      <c r="CL13" s="702">
        <v>1.0962553811878738E-2</v>
      </c>
    </row>
    <row r="14" spans="1:218" s="192" customFormat="1" ht="15" customHeight="1" x14ac:dyDescent="0.2">
      <c r="A14" s="583" t="s">
        <v>18</v>
      </c>
      <c r="B14" s="222">
        <v>3</v>
      </c>
      <c r="C14" s="405">
        <v>765</v>
      </c>
      <c r="D14" s="495">
        <f>C14/17150*100</f>
        <v>4.4606413994169101</v>
      </c>
      <c r="E14" s="405">
        <v>783</v>
      </c>
      <c r="F14" s="495">
        <f>E14/18390*100</f>
        <v>4.2577487765089721</v>
      </c>
      <c r="G14" s="405">
        <v>875</v>
      </c>
      <c r="H14" s="495">
        <f>G14/20259*100</f>
        <v>4.3190680685127596</v>
      </c>
      <c r="I14" s="405">
        <v>974</v>
      </c>
      <c r="J14" s="495">
        <f>I14/23446*100</f>
        <v>4.1542267337712193</v>
      </c>
      <c r="K14" s="405">
        <v>997</v>
      </c>
      <c r="L14" s="495">
        <f>K14/25270*100</f>
        <v>3.9453897902651365</v>
      </c>
      <c r="M14" s="405">
        <v>1018</v>
      </c>
      <c r="N14" s="495">
        <f>M14/27998*100</f>
        <v>3.6359739981427248</v>
      </c>
      <c r="O14" s="407">
        <v>1028</v>
      </c>
      <c r="P14" s="495">
        <f>O14/28427*100</f>
        <v>3.6162802969008339</v>
      </c>
      <c r="Q14" s="407">
        <v>1355</v>
      </c>
      <c r="R14" s="495">
        <f>Q14/29997*100</f>
        <v>4.5171183785045175</v>
      </c>
      <c r="S14" s="407">
        <v>1312</v>
      </c>
      <c r="T14" s="495">
        <f>S14/30912*100</f>
        <v>4.2443064182194616</v>
      </c>
      <c r="U14" s="407">
        <v>2312</v>
      </c>
      <c r="V14" s="495">
        <v>6.9</v>
      </c>
      <c r="W14" s="407">
        <v>2373</v>
      </c>
      <c r="X14" s="495">
        <v>6.9</v>
      </c>
      <c r="Y14" s="407">
        <v>2333</v>
      </c>
      <c r="Z14" s="495">
        <f>Y14/36524*100</f>
        <v>6.3875807688095501</v>
      </c>
      <c r="AA14" s="407">
        <v>2373</v>
      </c>
      <c r="AB14" s="495">
        <f>AA14/38895*100</f>
        <v>6.1010412649440804</v>
      </c>
      <c r="AC14" s="407">
        <v>2458</v>
      </c>
      <c r="AD14" s="495">
        <f>AC14/42775*100</f>
        <v>5.7463471654003504</v>
      </c>
      <c r="AE14" s="407">
        <v>2599</v>
      </c>
      <c r="AF14" s="495">
        <v>5.7</v>
      </c>
      <c r="AG14" s="408">
        <v>2864</v>
      </c>
      <c r="AH14" s="495">
        <f>AG14/51410*100</f>
        <v>5.5709006029955255</v>
      </c>
      <c r="AI14" s="407">
        <v>2831</v>
      </c>
      <c r="AJ14" s="495">
        <f>AI14/54867*100</f>
        <v>5.1597499407658525</v>
      </c>
      <c r="AK14" s="407">
        <v>2707</v>
      </c>
      <c r="AL14" s="495">
        <f>AK14/57317*100</f>
        <v>4.722857093009055</v>
      </c>
      <c r="AM14" s="407">
        <v>3749</v>
      </c>
      <c r="AN14" s="495">
        <f>AM14/60607*100</f>
        <v>6.1857541208111275</v>
      </c>
      <c r="AO14" s="407">
        <v>3163</v>
      </c>
      <c r="AP14" s="495">
        <f>AO14/47906*100</f>
        <v>6.6025132551246184</v>
      </c>
      <c r="AQ14" s="407">
        <v>2996</v>
      </c>
      <c r="AR14" s="495">
        <f>AQ14/48483*100</f>
        <v>6.1794855928882289</v>
      </c>
      <c r="AS14" s="407">
        <v>2900</v>
      </c>
      <c r="AT14" s="495">
        <f>AS14/50824*100</f>
        <v>5.7059656855029122</v>
      </c>
      <c r="AU14" s="407">
        <v>2945</v>
      </c>
      <c r="AV14" s="495">
        <f>AU14/52254*100</f>
        <v>5.6359321774409619</v>
      </c>
      <c r="AW14" s="407">
        <v>2945</v>
      </c>
      <c r="AX14" s="495">
        <f>AW14/53770*100</f>
        <v>5.4770318021201412</v>
      </c>
      <c r="AY14" s="407">
        <v>2935</v>
      </c>
      <c r="AZ14" s="495">
        <f>AY14/54896*100</f>
        <v>5.346473331390265</v>
      </c>
      <c r="BA14" s="407">
        <v>2541</v>
      </c>
      <c r="BB14" s="495">
        <f>BA14/47329*100</f>
        <v>5.3688013691394278</v>
      </c>
      <c r="BC14" s="407">
        <v>2589</v>
      </c>
      <c r="BD14" s="495">
        <v>5.4</v>
      </c>
      <c r="BE14" s="407">
        <v>2541</v>
      </c>
      <c r="BF14" s="495">
        <v>5.6</v>
      </c>
      <c r="BG14" s="407">
        <v>2370</v>
      </c>
      <c r="BH14" s="495">
        <v>5.2</v>
      </c>
      <c r="BI14" s="407">
        <v>2352</v>
      </c>
      <c r="BJ14" s="495">
        <v>5.3</v>
      </c>
      <c r="BK14" s="407">
        <v>2392</v>
      </c>
      <c r="BL14" s="495">
        <v>5.7</v>
      </c>
      <c r="BM14" s="407">
        <v>2254</v>
      </c>
      <c r="BN14" s="495">
        <v>5.2</v>
      </c>
      <c r="BO14" s="407">
        <v>2138</v>
      </c>
      <c r="BP14" s="495">
        <v>4.5999999999999996</v>
      </c>
      <c r="BQ14" s="407">
        <v>2090</v>
      </c>
      <c r="BR14" s="495">
        <v>4.5</v>
      </c>
      <c r="BS14" s="407">
        <v>4020</v>
      </c>
      <c r="BT14" s="495">
        <v>9.1999999999999993</v>
      </c>
      <c r="BU14" s="407">
        <v>3995</v>
      </c>
      <c r="BV14" s="495">
        <v>9.1999999999999993</v>
      </c>
      <c r="BW14" s="407">
        <v>3602</v>
      </c>
      <c r="BX14" s="495">
        <v>8.3000000000000007</v>
      </c>
      <c r="BY14" s="407">
        <v>2604</v>
      </c>
      <c r="BZ14" s="495">
        <v>6.4</v>
      </c>
      <c r="CA14" s="407">
        <v>3742</v>
      </c>
      <c r="CB14" s="495">
        <v>10</v>
      </c>
      <c r="CC14" s="408">
        <v>2437</v>
      </c>
      <c r="CD14" s="495">
        <v>6.4</v>
      </c>
      <c r="CE14" s="408">
        <v>1328</v>
      </c>
      <c r="CF14" s="554">
        <v>3.5</v>
      </c>
      <c r="CG14" s="408">
        <v>1484</v>
      </c>
      <c r="CH14" s="554">
        <v>3.4</v>
      </c>
      <c r="CI14" s="408">
        <v>1411</v>
      </c>
      <c r="CJ14" s="554">
        <v>3.4</v>
      </c>
      <c r="CK14" s="409">
        <v>1337</v>
      </c>
      <c r="CL14" s="702">
        <v>3.357489478050292E-2</v>
      </c>
    </row>
    <row r="15" spans="1:218" s="192" customFormat="1" ht="15" customHeight="1" x14ac:dyDescent="0.2">
      <c r="A15" s="583" t="s">
        <v>19</v>
      </c>
      <c r="B15" s="222">
        <v>10</v>
      </c>
      <c r="C15" s="405">
        <v>532</v>
      </c>
      <c r="D15" s="495">
        <f>C15/1998*100</f>
        <v>26.626626626626624</v>
      </c>
      <c r="E15" s="405">
        <v>534</v>
      </c>
      <c r="F15" s="495">
        <f>E15/2011*100</f>
        <v>26.553953257086029</v>
      </c>
      <c r="G15" s="405">
        <v>526</v>
      </c>
      <c r="H15" s="495">
        <f>G15/1981*100-0.1</f>
        <v>26.452246340232204</v>
      </c>
      <c r="I15" s="405">
        <v>544</v>
      </c>
      <c r="J15" s="495">
        <f>I15/2060*100</f>
        <v>26.407766990291265</v>
      </c>
      <c r="K15" s="405">
        <v>588</v>
      </c>
      <c r="L15" s="495">
        <f>K15/2195*100</f>
        <v>26.788154897494305</v>
      </c>
      <c r="M15" s="405">
        <v>584</v>
      </c>
      <c r="N15" s="495">
        <f>M15/2175*100-0.1</f>
        <v>26.750574712643676</v>
      </c>
      <c r="O15" s="407">
        <v>624</v>
      </c>
      <c r="P15" s="495">
        <f>O15/2327*100</f>
        <v>26.815642458100559</v>
      </c>
      <c r="Q15" s="407">
        <v>757</v>
      </c>
      <c r="R15" s="495">
        <f>Q15/2800*100</f>
        <v>27.035714285714285</v>
      </c>
      <c r="S15" s="407">
        <v>923</v>
      </c>
      <c r="T15" s="495">
        <f>S15/3521*100</f>
        <v>26.214143709173531</v>
      </c>
      <c r="U15" s="407">
        <v>1090</v>
      </c>
      <c r="V15" s="495">
        <v>26.7</v>
      </c>
      <c r="W15" s="407">
        <v>1035</v>
      </c>
      <c r="X15" s="495">
        <v>26.4</v>
      </c>
      <c r="Y15" s="407">
        <v>996</v>
      </c>
      <c r="Z15" s="495">
        <f>Y15/3777*100</f>
        <v>26.37013502779984</v>
      </c>
      <c r="AA15" s="407">
        <v>1046</v>
      </c>
      <c r="AB15" s="495">
        <f>AA15/3961*100</f>
        <v>26.407472860388793</v>
      </c>
      <c r="AC15" s="407">
        <v>1101</v>
      </c>
      <c r="AD15" s="495">
        <f>AC15/4267*100</f>
        <v>25.802671666276073</v>
      </c>
      <c r="AE15" s="407">
        <v>1066</v>
      </c>
      <c r="AF15" s="495">
        <v>25.9</v>
      </c>
      <c r="AG15" s="408">
        <v>1121</v>
      </c>
      <c r="AH15" s="495">
        <f>AG15/4285*100</f>
        <v>26.1610268378063</v>
      </c>
      <c r="AI15" s="407">
        <v>1258</v>
      </c>
      <c r="AJ15" s="495">
        <f>AI15/4751*100</f>
        <v>26.478636076615448</v>
      </c>
      <c r="AK15" s="407">
        <v>1379</v>
      </c>
      <c r="AL15" s="495">
        <f>AK15/5095*100</f>
        <v>27.065750736015705</v>
      </c>
      <c r="AM15" s="407">
        <v>1419</v>
      </c>
      <c r="AN15" s="495">
        <f>AM15/5268*100</f>
        <v>26.936218678815489</v>
      </c>
      <c r="AO15" s="407">
        <v>1572</v>
      </c>
      <c r="AP15" s="495">
        <f>AO15/5847*100</f>
        <v>26.885582349923038</v>
      </c>
      <c r="AQ15" s="407">
        <v>1871</v>
      </c>
      <c r="AR15" s="495">
        <f>AQ15/6807*100</f>
        <v>27.486411047451153</v>
      </c>
      <c r="AS15" s="407">
        <v>1738</v>
      </c>
      <c r="AT15" s="495">
        <f>AS15/6356*100</f>
        <v>27.344241661422281</v>
      </c>
      <c r="AU15" s="407">
        <v>1982</v>
      </c>
      <c r="AV15" s="495">
        <f>AU15/7192*100</f>
        <v>27.558398220244719</v>
      </c>
      <c r="AW15" s="407">
        <v>2039</v>
      </c>
      <c r="AX15" s="495">
        <f>AW15/7427*100</f>
        <v>27.453884475562141</v>
      </c>
      <c r="AY15" s="407">
        <v>2079</v>
      </c>
      <c r="AZ15" s="495">
        <f>AY15/7608*100</f>
        <v>27.326498422712937</v>
      </c>
      <c r="BA15" s="407">
        <v>2356</v>
      </c>
      <c r="BB15" s="495">
        <f>BA15/9070*100</f>
        <v>25.97574421168688</v>
      </c>
      <c r="BC15" s="407">
        <v>2467</v>
      </c>
      <c r="BD15" s="495">
        <v>25.7</v>
      </c>
      <c r="BE15" s="407">
        <v>1856</v>
      </c>
      <c r="BF15" s="495">
        <v>27.8</v>
      </c>
      <c r="BG15" s="407">
        <v>1976</v>
      </c>
      <c r="BH15" s="495">
        <v>28.2</v>
      </c>
      <c r="BI15" s="407">
        <v>1734</v>
      </c>
      <c r="BJ15" s="495">
        <v>27.9</v>
      </c>
      <c r="BK15" s="407">
        <v>1605</v>
      </c>
      <c r="BL15" s="495">
        <v>28</v>
      </c>
      <c r="BM15" s="407">
        <v>1737</v>
      </c>
      <c r="BN15" s="495">
        <v>28.6</v>
      </c>
      <c r="BO15" s="407">
        <v>1891</v>
      </c>
      <c r="BP15" s="495">
        <v>28.4</v>
      </c>
      <c r="BQ15" s="407">
        <v>2037</v>
      </c>
      <c r="BR15" s="495">
        <v>28.4</v>
      </c>
      <c r="BS15" s="407">
        <v>2571</v>
      </c>
      <c r="BT15" s="495">
        <v>26</v>
      </c>
      <c r="BU15" s="407">
        <v>2559</v>
      </c>
      <c r="BV15" s="495">
        <v>26</v>
      </c>
      <c r="BW15" s="407">
        <v>2540</v>
      </c>
      <c r="BX15" s="495">
        <v>29.6</v>
      </c>
      <c r="BY15" s="407">
        <v>3068</v>
      </c>
      <c r="BZ15" s="495">
        <v>29.8</v>
      </c>
      <c r="CA15" s="407">
        <v>3191</v>
      </c>
      <c r="CB15" s="495">
        <v>27.7</v>
      </c>
      <c r="CC15" s="408">
        <v>3926</v>
      </c>
      <c r="CD15" s="495">
        <v>29.8</v>
      </c>
      <c r="CE15" s="408">
        <v>2022</v>
      </c>
      <c r="CF15" s="554">
        <v>15.4</v>
      </c>
      <c r="CG15" s="408">
        <v>1894</v>
      </c>
      <c r="CH15" s="554">
        <v>15.4</v>
      </c>
      <c r="CI15" s="408">
        <v>1935</v>
      </c>
      <c r="CJ15" s="554">
        <v>15.7</v>
      </c>
      <c r="CK15" s="409">
        <v>1905.855</v>
      </c>
      <c r="CL15" s="702">
        <v>0.14736903069421661</v>
      </c>
    </row>
    <row r="16" spans="1:218" s="192" customFormat="1" ht="15" customHeight="1" x14ac:dyDescent="0.2">
      <c r="A16" s="583" t="s">
        <v>20</v>
      </c>
      <c r="B16" s="222">
        <v>30</v>
      </c>
      <c r="C16" s="405">
        <v>442</v>
      </c>
      <c r="D16" s="495">
        <f>C16/896*100</f>
        <v>49.330357142857146</v>
      </c>
      <c r="E16" s="405">
        <v>465</v>
      </c>
      <c r="F16" s="495">
        <f>E16/946*100</f>
        <v>49.154334038054969</v>
      </c>
      <c r="G16" s="405">
        <v>466</v>
      </c>
      <c r="H16" s="495">
        <f>G16/960*100+0.1</f>
        <v>48.641666666666666</v>
      </c>
      <c r="I16" s="405">
        <v>493</v>
      </c>
      <c r="J16" s="495">
        <f>I16/1019*100</f>
        <v>48.380765456329733</v>
      </c>
      <c r="K16" s="405">
        <v>512</v>
      </c>
      <c r="L16" s="495">
        <f>K16/1068*100+0.1</f>
        <v>48.040074906367046</v>
      </c>
      <c r="M16" s="405">
        <v>573</v>
      </c>
      <c r="N16" s="495">
        <f>M16/1191*100</f>
        <v>48.110831234256928</v>
      </c>
      <c r="O16" s="407">
        <v>587</v>
      </c>
      <c r="P16" s="495">
        <f>O16/1222*100</f>
        <v>48.036006546644842</v>
      </c>
      <c r="Q16" s="407">
        <v>655</v>
      </c>
      <c r="R16" s="495">
        <f>Q16/1352*100</f>
        <v>48.446745562130175</v>
      </c>
      <c r="S16" s="407">
        <v>838</v>
      </c>
      <c r="T16" s="495">
        <f>S16/1732*100</f>
        <v>48.383371824480371</v>
      </c>
      <c r="U16" s="407">
        <v>860</v>
      </c>
      <c r="V16" s="495">
        <v>48.1</v>
      </c>
      <c r="W16" s="407">
        <v>887</v>
      </c>
      <c r="X16" s="495">
        <v>48.2</v>
      </c>
      <c r="Y16" s="407">
        <v>923</v>
      </c>
      <c r="Z16" s="495">
        <f>Y16/1916*100</f>
        <v>48.173277661795403</v>
      </c>
      <c r="AA16" s="407">
        <v>858</v>
      </c>
      <c r="AB16" s="495">
        <f>AA16/1788*100</f>
        <v>47.986577181208048</v>
      </c>
      <c r="AC16" s="407">
        <v>837</v>
      </c>
      <c r="AD16" s="495">
        <f>AC16/1741*100</f>
        <v>48.075818495117751</v>
      </c>
      <c r="AE16" s="407">
        <v>906</v>
      </c>
      <c r="AF16" s="495">
        <v>48.1</v>
      </c>
      <c r="AG16" s="408">
        <v>876</v>
      </c>
      <c r="AH16" s="495">
        <f>AG16/1824*100</f>
        <v>48.026315789473685</v>
      </c>
      <c r="AI16" s="407">
        <v>927</v>
      </c>
      <c r="AJ16" s="495">
        <f>AI16/1918*100</f>
        <v>48.331595411887385</v>
      </c>
      <c r="AK16" s="407">
        <v>997</v>
      </c>
      <c r="AL16" s="495">
        <f>AK16/2063*100</f>
        <v>48.327678138633054</v>
      </c>
      <c r="AM16" s="407">
        <v>1113</v>
      </c>
      <c r="AN16" s="495">
        <f>AM16/2305*100</f>
        <v>48.286334056399134</v>
      </c>
      <c r="AO16" s="407">
        <v>1190</v>
      </c>
      <c r="AP16" s="495">
        <f>AO16/2452*100</f>
        <v>48.531810766721044</v>
      </c>
      <c r="AQ16" s="407">
        <v>1122</v>
      </c>
      <c r="AR16" s="495">
        <f>AQ16/2305*100</f>
        <v>48.67678958785249</v>
      </c>
      <c r="AS16" s="407">
        <v>1602</v>
      </c>
      <c r="AT16" s="495">
        <f>AS16/3273*100</f>
        <v>48.945921173235561</v>
      </c>
      <c r="AU16" s="407">
        <v>1239</v>
      </c>
      <c r="AV16" s="495">
        <f>AU16/2548*100</f>
        <v>48.626373626373628</v>
      </c>
      <c r="AW16" s="407">
        <v>1325</v>
      </c>
      <c r="AX16" s="495">
        <f>AW16/2725*100</f>
        <v>48.623853211009177</v>
      </c>
      <c r="AY16" s="407">
        <v>1334</v>
      </c>
      <c r="AZ16" s="495">
        <f>AY16/2763*100</f>
        <v>48.280854144046323</v>
      </c>
      <c r="BA16" s="407">
        <v>1273</v>
      </c>
      <c r="BB16" s="495">
        <f>BA16/2636*100</f>
        <v>48.292867981790593</v>
      </c>
      <c r="BC16" s="407">
        <v>1302</v>
      </c>
      <c r="BD16" s="495">
        <v>48.3</v>
      </c>
      <c r="BE16" s="407">
        <v>1865</v>
      </c>
      <c r="BF16" s="495">
        <v>46.3</v>
      </c>
      <c r="BG16" s="407">
        <v>1943</v>
      </c>
      <c r="BH16" s="495">
        <v>44.6</v>
      </c>
      <c r="BI16" s="407">
        <v>1834</v>
      </c>
      <c r="BJ16" s="495">
        <v>44.6</v>
      </c>
      <c r="BK16" s="407">
        <v>1989</v>
      </c>
      <c r="BL16" s="495">
        <v>45</v>
      </c>
      <c r="BM16" s="407">
        <v>2142</v>
      </c>
      <c r="BN16" s="495">
        <v>44.9</v>
      </c>
      <c r="BO16" s="407">
        <v>1844</v>
      </c>
      <c r="BP16" s="495">
        <v>48</v>
      </c>
      <c r="BQ16" s="407">
        <v>1904</v>
      </c>
      <c r="BR16" s="495">
        <v>49.5</v>
      </c>
      <c r="BS16" s="407">
        <v>1838</v>
      </c>
      <c r="BT16" s="495">
        <v>49.4</v>
      </c>
      <c r="BU16" s="407">
        <v>1855</v>
      </c>
      <c r="BV16" s="495">
        <v>49.4</v>
      </c>
      <c r="BW16" s="407">
        <v>2337</v>
      </c>
      <c r="BX16" s="495">
        <v>48.7</v>
      </c>
      <c r="BY16" s="407">
        <v>2657</v>
      </c>
      <c r="BZ16" s="495">
        <v>49.8</v>
      </c>
      <c r="CA16" s="407">
        <v>3067</v>
      </c>
      <c r="CB16" s="495">
        <v>49.7</v>
      </c>
      <c r="CC16" s="408">
        <v>3080</v>
      </c>
      <c r="CD16" s="495">
        <v>49.3</v>
      </c>
      <c r="CE16" s="408">
        <v>5154</v>
      </c>
      <c r="CF16" s="554">
        <v>69.400000000000006</v>
      </c>
      <c r="CG16" s="408">
        <v>5455</v>
      </c>
      <c r="CH16" s="554">
        <v>74</v>
      </c>
      <c r="CI16" s="408">
        <v>5082</v>
      </c>
      <c r="CJ16" s="554">
        <v>72.7</v>
      </c>
      <c r="CK16" s="409">
        <v>5477.915</v>
      </c>
      <c r="CL16" s="702">
        <v>0.7153710257963295</v>
      </c>
    </row>
    <row r="17" spans="1:121" s="192" customFormat="1" ht="15" customHeight="1" x14ac:dyDescent="0.2">
      <c r="A17" s="583" t="s">
        <v>21</v>
      </c>
      <c r="B17" s="222">
        <v>50</v>
      </c>
      <c r="C17" s="405">
        <v>536</v>
      </c>
      <c r="D17" s="495">
        <f>C17/801*100</f>
        <v>66.916354556803995</v>
      </c>
      <c r="E17" s="405">
        <v>644</v>
      </c>
      <c r="F17" s="495">
        <f>E17/955*100+0.1</f>
        <v>67.534554973821983</v>
      </c>
      <c r="G17" s="405">
        <v>571</v>
      </c>
      <c r="H17" s="495">
        <f>G17/850*100-0.1</f>
        <v>67.076470588235296</v>
      </c>
      <c r="I17" s="405">
        <v>562</v>
      </c>
      <c r="J17" s="495">
        <f>I17/839*100</f>
        <v>66.984505363528015</v>
      </c>
      <c r="K17" s="405">
        <v>648</v>
      </c>
      <c r="L17" s="495">
        <f>K17/964*100</f>
        <v>67.219917012448136</v>
      </c>
      <c r="M17" s="405">
        <v>792</v>
      </c>
      <c r="N17" s="495">
        <f>M17/1176*100+0.1</f>
        <v>67.446938775510191</v>
      </c>
      <c r="O17" s="407">
        <v>706</v>
      </c>
      <c r="P17" s="495">
        <f>O17/1050*100</f>
        <v>67.238095238095241</v>
      </c>
      <c r="Q17" s="407">
        <v>819</v>
      </c>
      <c r="R17" s="495">
        <f>Q17/1217*100</f>
        <v>67.296631059983568</v>
      </c>
      <c r="S17" s="407">
        <v>1005</v>
      </c>
      <c r="T17" s="495">
        <f>S17/1491*100</f>
        <v>67.404426559356139</v>
      </c>
      <c r="U17" s="407">
        <v>1274</v>
      </c>
      <c r="V17" s="495">
        <v>65.400000000000006</v>
      </c>
      <c r="W17" s="407">
        <v>1095</v>
      </c>
      <c r="X17" s="495">
        <v>67.2</v>
      </c>
      <c r="Y17" s="407">
        <v>1202</v>
      </c>
      <c r="Z17" s="495">
        <f>Y17/1791*100</f>
        <v>67.113344500279169</v>
      </c>
      <c r="AA17" s="407">
        <v>1172</v>
      </c>
      <c r="AB17" s="495">
        <f>AA17/1745*100-0.1</f>
        <v>67.06332378223496</v>
      </c>
      <c r="AC17" s="407">
        <v>1265</v>
      </c>
      <c r="AD17" s="495">
        <f>AC17/1885*100</f>
        <v>67.108753315649878</v>
      </c>
      <c r="AE17" s="407">
        <v>1104</v>
      </c>
      <c r="AF17" s="495">
        <v>66.900000000000006</v>
      </c>
      <c r="AG17" s="408">
        <v>1107</v>
      </c>
      <c r="AH17" s="495">
        <f>AG17/1653*100</f>
        <v>66.969147005444654</v>
      </c>
      <c r="AI17" s="407">
        <v>1164</v>
      </c>
      <c r="AJ17" s="495">
        <f>AI17/1735*100</f>
        <v>67.089337175792508</v>
      </c>
      <c r="AK17" s="407">
        <v>1336</v>
      </c>
      <c r="AL17" s="495">
        <f>AK17/1984*100</f>
        <v>67.338709677419345</v>
      </c>
      <c r="AM17" s="407">
        <v>1248</v>
      </c>
      <c r="AN17" s="495">
        <f>AM17/1849*100</f>
        <v>67.495943753380203</v>
      </c>
      <c r="AO17" s="407">
        <v>1324</v>
      </c>
      <c r="AP17" s="495">
        <f>AO17/1963*100</f>
        <v>67.447784004075402</v>
      </c>
      <c r="AQ17" s="407">
        <v>1374</v>
      </c>
      <c r="AR17" s="495">
        <f>AQ17/2042*100</f>
        <v>67.286973555337909</v>
      </c>
      <c r="AS17" s="407">
        <v>1512</v>
      </c>
      <c r="AT17" s="495">
        <f>AS17/2236*100</f>
        <v>67.620751341681569</v>
      </c>
      <c r="AU17" s="407">
        <v>1450</v>
      </c>
      <c r="AV17" s="495">
        <f>AU17/2139*100</f>
        <v>67.788686302010277</v>
      </c>
      <c r="AW17" s="407">
        <v>1375</v>
      </c>
      <c r="AX17" s="495">
        <f>AW17/2026*100</f>
        <v>67.867719644619939</v>
      </c>
      <c r="AY17" s="407">
        <v>1475</v>
      </c>
      <c r="AZ17" s="495">
        <f>AY17/2167*100</f>
        <v>68.066451315182277</v>
      </c>
      <c r="BA17" s="407">
        <v>1645</v>
      </c>
      <c r="BB17" s="495">
        <f>BA17/2452*100</f>
        <v>67.088091353996731</v>
      </c>
      <c r="BC17" s="407">
        <v>1489</v>
      </c>
      <c r="BD17" s="495">
        <v>66.900000000000006</v>
      </c>
      <c r="BE17" s="407">
        <v>1387</v>
      </c>
      <c r="BF17" s="495">
        <v>68.5</v>
      </c>
      <c r="BG17" s="407">
        <v>1550</v>
      </c>
      <c r="BH17" s="495">
        <v>69.8</v>
      </c>
      <c r="BI17" s="407">
        <v>1964</v>
      </c>
      <c r="BJ17" s="495">
        <v>69.2</v>
      </c>
      <c r="BK17" s="407">
        <v>1604</v>
      </c>
      <c r="BL17" s="495">
        <v>69.3</v>
      </c>
      <c r="BM17" s="407">
        <v>1593</v>
      </c>
      <c r="BN17" s="495">
        <v>68.400000000000006</v>
      </c>
      <c r="BO17" s="407">
        <v>2464</v>
      </c>
      <c r="BP17" s="495">
        <v>67</v>
      </c>
      <c r="BQ17" s="407">
        <v>2288</v>
      </c>
      <c r="BR17" s="495">
        <v>63.9</v>
      </c>
      <c r="BS17" s="407">
        <v>2175</v>
      </c>
      <c r="BT17" s="495">
        <v>68.3</v>
      </c>
      <c r="BU17" s="407">
        <v>2370</v>
      </c>
      <c r="BV17" s="495">
        <v>68.3</v>
      </c>
      <c r="BW17" s="407">
        <v>2197</v>
      </c>
      <c r="BX17" s="495">
        <v>69.099999999999994</v>
      </c>
      <c r="BY17" s="407">
        <v>2364</v>
      </c>
      <c r="BZ17" s="495">
        <v>69.8</v>
      </c>
      <c r="CA17" s="407">
        <v>2459</v>
      </c>
      <c r="CB17" s="495">
        <v>69.900000000000006</v>
      </c>
      <c r="CC17" s="408">
        <v>2625</v>
      </c>
      <c r="CD17" s="495">
        <v>69.7</v>
      </c>
      <c r="CE17" s="408">
        <v>3515</v>
      </c>
      <c r="CF17" s="554">
        <v>94.2</v>
      </c>
      <c r="CG17" s="408">
        <v>3766</v>
      </c>
      <c r="CH17" s="554">
        <v>98.5</v>
      </c>
      <c r="CI17" s="408">
        <v>4208</v>
      </c>
      <c r="CJ17" s="554">
        <v>98.5</v>
      </c>
      <c r="CK17" s="409">
        <v>4126.0969999999998</v>
      </c>
      <c r="CL17" s="702">
        <v>0.96577003837944508</v>
      </c>
    </row>
    <row r="18" spans="1:121" s="192" customFormat="1" ht="15" customHeight="1" x14ac:dyDescent="0.2">
      <c r="A18" s="583" t="s">
        <v>22</v>
      </c>
      <c r="B18" s="222">
        <v>70</v>
      </c>
      <c r="C18" s="405">
        <v>688</v>
      </c>
      <c r="D18" s="495">
        <f>C18/727*100+0.2</f>
        <v>94.835488308115544</v>
      </c>
      <c r="E18" s="405">
        <v>737</v>
      </c>
      <c r="F18" s="495">
        <f>E18/773*100</f>
        <v>95.342820181112558</v>
      </c>
      <c r="G18" s="405">
        <v>734</v>
      </c>
      <c r="H18" s="495">
        <f>G18/777*100</f>
        <v>94.465894465894465</v>
      </c>
      <c r="I18" s="405">
        <v>718</v>
      </c>
      <c r="J18" s="495">
        <f>I18/760*100+0.1</f>
        <v>94.573684210526309</v>
      </c>
      <c r="K18" s="405">
        <v>705</v>
      </c>
      <c r="L18" s="495">
        <f>K18/740*100-0.1</f>
        <v>95.170270270270279</v>
      </c>
      <c r="M18" s="405">
        <v>798</v>
      </c>
      <c r="N18" s="495">
        <f>M18/831*100</f>
        <v>96.028880866425993</v>
      </c>
      <c r="O18" s="407">
        <v>811</v>
      </c>
      <c r="P18" s="495">
        <f>O18/842*100</f>
        <v>96.318289786223275</v>
      </c>
      <c r="Q18" s="407">
        <v>807</v>
      </c>
      <c r="R18" s="495">
        <f>Q18/831*100+0.1</f>
        <v>97.211913357400718</v>
      </c>
      <c r="S18" s="407">
        <v>1250</v>
      </c>
      <c r="T18" s="495">
        <f>S18/1316*100</f>
        <v>94.984802431610944</v>
      </c>
      <c r="U18" s="407">
        <v>1329</v>
      </c>
      <c r="V18" s="495">
        <v>97.2</v>
      </c>
      <c r="W18" s="407">
        <v>1397</v>
      </c>
      <c r="X18" s="495">
        <v>96.5</v>
      </c>
      <c r="Y18" s="407">
        <v>1303</v>
      </c>
      <c r="Z18" s="495">
        <f>Y18/1340*100</f>
        <v>97.238805970149258</v>
      </c>
      <c r="AA18" s="407">
        <v>1393</v>
      </c>
      <c r="AB18" s="495">
        <f>AA18/1430*100+0.1</f>
        <v>97.512587412587408</v>
      </c>
      <c r="AC18" s="407">
        <v>1367</v>
      </c>
      <c r="AD18" s="495">
        <f>AC18/1398*100</f>
        <v>97.782546494992857</v>
      </c>
      <c r="AE18" s="407">
        <v>1277</v>
      </c>
      <c r="AF18" s="495">
        <v>97.7</v>
      </c>
      <c r="AG18" s="408">
        <v>1302</v>
      </c>
      <c r="AH18" s="495">
        <f>AG18/1329*100</f>
        <v>97.968397291196382</v>
      </c>
      <c r="AI18" s="407">
        <v>1339</v>
      </c>
      <c r="AJ18" s="495">
        <f>AI18/1368*100</f>
        <v>97.880116959064324</v>
      </c>
      <c r="AK18" s="407">
        <v>1462</v>
      </c>
      <c r="AL18" s="495">
        <f>AK18/1492*100</f>
        <v>97.98927613941018</v>
      </c>
      <c r="AM18" s="407">
        <v>1523</v>
      </c>
      <c r="AN18" s="495">
        <f>AM18/1555*100</f>
        <v>97.942122186495169</v>
      </c>
      <c r="AO18" s="407">
        <v>1728</v>
      </c>
      <c r="AP18" s="495">
        <f>AO18/1763*100</f>
        <v>98.014747589336366</v>
      </c>
      <c r="AQ18" s="407">
        <v>1704</v>
      </c>
      <c r="AR18" s="495">
        <f>AQ18/1736*100</f>
        <v>98.156682027649765</v>
      </c>
      <c r="AS18" s="407">
        <v>1797</v>
      </c>
      <c r="AT18" s="495">
        <f>AS18/1838*100</f>
        <v>97.769314472252447</v>
      </c>
      <c r="AU18" s="407">
        <v>1774</v>
      </c>
      <c r="AV18" s="495">
        <f>AU18/1810*100</f>
        <v>98.011049723756898</v>
      </c>
      <c r="AW18" s="407">
        <v>1764</v>
      </c>
      <c r="AX18" s="495">
        <f>AW18/1798*100</f>
        <v>98.109010011123459</v>
      </c>
      <c r="AY18" s="407">
        <v>1738</v>
      </c>
      <c r="AZ18" s="495">
        <f>AY18/1768*100</f>
        <v>98.303167420814475</v>
      </c>
      <c r="BA18" s="407">
        <v>1832</v>
      </c>
      <c r="BB18" s="495">
        <f>BA18/1859*100</f>
        <v>98.547606239913932</v>
      </c>
      <c r="BC18" s="407">
        <v>1633</v>
      </c>
      <c r="BD18" s="495">
        <v>98.4</v>
      </c>
      <c r="BE18" s="407">
        <v>1630</v>
      </c>
      <c r="BF18" s="495">
        <v>98.7</v>
      </c>
      <c r="BG18" s="407">
        <v>1720</v>
      </c>
      <c r="BH18" s="495">
        <v>98.9</v>
      </c>
      <c r="BI18" s="407">
        <v>1905</v>
      </c>
      <c r="BJ18" s="495">
        <v>99.3</v>
      </c>
      <c r="BK18" s="407">
        <v>1944</v>
      </c>
      <c r="BL18" s="495">
        <v>98.8</v>
      </c>
      <c r="BM18" s="407">
        <v>1927</v>
      </c>
      <c r="BN18" s="495">
        <v>99.8</v>
      </c>
      <c r="BO18" s="407">
        <v>2043</v>
      </c>
      <c r="BP18" s="495">
        <v>99.1</v>
      </c>
      <c r="BQ18" s="407">
        <v>2121</v>
      </c>
      <c r="BR18" s="495">
        <v>98.9</v>
      </c>
      <c r="BS18" s="407">
        <v>2043</v>
      </c>
      <c r="BT18" s="495">
        <v>99.2</v>
      </c>
      <c r="BU18" s="407">
        <v>2076</v>
      </c>
      <c r="BV18" s="495">
        <v>99.2</v>
      </c>
      <c r="BW18" s="407">
        <v>3349</v>
      </c>
      <c r="BX18" s="495">
        <v>88.4</v>
      </c>
      <c r="BY18" s="407">
        <v>2686</v>
      </c>
      <c r="BZ18" s="495">
        <v>97.4</v>
      </c>
      <c r="CA18" s="407">
        <v>3000</v>
      </c>
      <c r="CB18" s="495">
        <v>97.8</v>
      </c>
      <c r="CC18" s="408">
        <v>3087</v>
      </c>
      <c r="CD18" s="495">
        <v>99.4</v>
      </c>
      <c r="CE18" s="408">
        <v>2918</v>
      </c>
      <c r="CF18" s="554">
        <v>99.4</v>
      </c>
      <c r="CG18" s="408">
        <v>3136</v>
      </c>
      <c r="CH18" s="554">
        <v>96.1</v>
      </c>
      <c r="CI18" s="408">
        <v>2974</v>
      </c>
      <c r="CJ18" s="554">
        <v>99.4</v>
      </c>
      <c r="CK18" s="409">
        <v>2942.1860000000001</v>
      </c>
      <c r="CL18" s="702">
        <v>0.99357291492892452</v>
      </c>
    </row>
    <row r="19" spans="1:121" s="192" customFormat="1" ht="15" customHeight="1" x14ac:dyDescent="0.2">
      <c r="A19" s="583" t="s">
        <v>23</v>
      </c>
      <c r="B19" s="222">
        <v>100</v>
      </c>
      <c r="C19" s="405">
        <v>3444</v>
      </c>
      <c r="D19" s="495">
        <f>C19/3445*100</f>
        <v>99.970972423802621</v>
      </c>
      <c r="E19" s="405">
        <v>3500</v>
      </c>
      <c r="F19" s="495">
        <f>E19/3500*100</f>
        <v>100</v>
      </c>
      <c r="G19" s="405">
        <v>3847</v>
      </c>
      <c r="H19" s="495">
        <f>G19/3847*100</f>
        <v>100</v>
      </c>
      <c r="I19" s="405">
        <v>4075</v>
      </c>
      <c r="J19" s="495">
        <f>I19/4075*100</f>
        <v>100</v>
      </c>
      <c r="K19" s="405">
        <v>4162</v>
      </c>
      <c r="L19" s="495">
        <f>K19/4162*100</f>
        <v>100</v>
      </c>
      <c r="M19" s="405">
        <v>4372</v>
      </c>
      <c r="N19" s="495">
        <f>M19/4372*100</f>
        <v>100</v>
      </c>
      <c r="O19" s="407">
        <v>4813</v>
      </c>
      <c r="P19" s="495">
        <f>O19/4813*100</f>
        <v>100</v>
      </c>
      <c r="Q19" s="407">
        <v>5262</v>
      </c>
      <c r="R19" s="495">
        <f>Q19/5262*100</f>
        <v>100</v>
      </c>
      <c r="S19" s="407">
        <v>5502</v>
      </c>
      <c r="T19" s="495">
        <f>S19/5502*100</f>
        <v>100</v>
      </c>
      <c r="U19" s="407">
        <v>6405</v>
      </c>
      <c r="V19" s="495">
        <v>100</v>
      </c>
      <c r="W19" s="407">
        <v>7568</v>
      </c>
      <c r="X19" s="495">
        <v>100</v>
      </c>
      <c r="Y19" s="407">
        <v>8798</v>
      </c>
      <c r="Z19" s="495">
        <f>Y19/8798*100</f>
        <v>100</v>
      </c>
      <c r="AA19" s="407">
        <v>8199</v>
      </c>
      <c r="AB19" s="495">
        <f>AA19/8199*100</f>
        <v>100</v>
      </c>
      <c r="AC19" s="407">
        <v>7943</v>
      </c>
      <c r="AD19" s="495">
        <f>AC19/7943*100</f>
        <v>100</v>
      </c>
      <c r="AE19" s="407">
        <v>8223</v>
      </c>
      <c r="AF19" s="495">
        <v>100</v>
      </c>
      <c r="AG19" s="408">
        <v>8294</v>
      </c>
      <c r="AH19" s="495">
        <f>AG19/8294*100</f>
        <v>100</v>
      </c>
      <c r="AI19" s="407">
        <v>8469</v>
      </c>
      <c r="AJ19" s="495">
        <f>AI19/8469*100</f>
        <v>100</v>
      </c>
      <c r="AK19" s="407">
        <v>8715</v>
      </c>
      <c r="AL19" s="495">
        <f>AK19/8714*100</f>
        <v>100.01147578609135</v>
      </c>
      <c r="AM19" s="407">
        <v>9257</v>
      </c>
      <c r="AN19" s="495">
        <f>AM19/9257*100</f>
        <v>100</v>
      </c>
      <c r="AO19" s="407">
        <v>9618</v>
      </c>
      <c r="AP19" s="495">
        <f>AO19/9618*100</f>
        <v>100</v>
      </c>
      <c r="AQ19" s="407">
        <v>10105</v>
      </c>
      <c r="AR19" s="495">
        <f>AQ19/10105*100</f>
        <v>100</v>
      </c>
      <c r="AS19" s="407">
        <v>10173</v>
      </c>
      <c r="AT19" s="495">
        <f>AS19/10173*100</f>
        <v>100</v>
      </c>
      <c r="AU19" s="407">
        <v>10536</v>
      </c>
      <c r="AV19" s="495">
        <f>AU19/10535*100</f>
        <v>100.00949216896061</v>
      </c>
      <c r="AW19" s="407">
        <v>10833</v>
      </c>
      <c r="AX19" s="495">
        <f>AW19/10832*100</f>
        <v>100.00923190546528</v>
      </c>
      <c r="AY19" s="407">
        <v>10758</v>
      </c>
      <c r="AZ19" s="495">
        <f>AY19/10758*100</f>
        <v>100</v>
      </c>
      <c r="BA19" s="407">
        <v>10630</v>
      </c>
      <c r="BB19" s="495">
        <f>BA19/10630*100</f>
        <v>100</v>
      </c>
      <c r="BC19" s="407">
        <v>10791</v>
      </c>
      <c r="BD19" s="495">
        <v>100</v>
      </c>
      <c r="BE19" s="407">
        <v>10984</v>
      </c>
      <c r="BF19" s="495">
        <v>100</v>
      </c>
      <c r="BG19" s="407">
        <v>10397</v>
      </c>
      <c r="BH19" s="495">
        <v>100</v>
      </c>
      <c r="BI19" s="407">
        <v>10536</v>
      </c>
      <c r="BJ19" s="495">
        <v>100</v>
      </c>
      <c r="BK19" s="407">
        <v>11563</v>
      </c>
      <c r="BL19" s="495">
        <v>100</v>
      </c>
      <c r="BM19" s="407">
        <v>11918</v>
      </c>
      <c r="BN19" s="495">
        <v>100</v>
      </c>
      <c r="BO19" s="407">
        <v>11774</v>
      </c>
      <c r="BP19" s="495">
        <v>100</v>
      </c>
      <c r="BQ19" s="407">
        <v>11925</v>
      </c>
      <c r="BR19" s="495">
        <v>100</v>
      </c>
      <c r="BS19" s="407">
        <v>14462</v>
      </c>
      <c r="BT19" s="495">
        <v>100</v>
      </c>
      <c r="BU19" s="407">
        <v>15053</v>
      </c>
      <c r="BV19" s="495">
        <v>100</v>
      </c>
      <c r="BW19" s="407">
        <v>15071</v>
      </c>
      <c r="BX19" s="495">
        <v>100</v>
      </c>
      <c r="BY19" s="407">
        <v>16775</v>
      </c>
      <c r="BZ19" s="495">
        <v>100</v>
      </c>
      <c r="CA19" s="407">
        <v>23472</v>
      </c>
      <c r="CB19" s="495">
        <v>100</v>
      </c>
      <c r="CC19" s="408">
        <v>23722</v>
      </c>
      <c r="CD19" s="495">
        <v>100</v>
      </c>
      <c r="CE19" s="408">
        <v>22970</v>
      </c>
      <c r="CF19" s="554">
        <v>100</v>
      </c>
      <c r="CG19" s="408">
        <v>20600</v>
      </c>
      <c r="CH19" s="554">
        <v>100</v>
      </c>
      <c r="CI19" s="408">
        <v>19793</v>
      </c>
      <c r="CJ19" s="554">
        <v>100</v>
      </c>
      <c r="CK19" s="409">
        <v>19561.488000000001</v>
      </c>
      <c r="CL19" s="702">
        <v>1</v>
      </c>
    </row>
    <row r="20" spans="1:121" s="192" customFormat="1" ht="5.0999999999999996" customHeight="1" x14ac:dyDescent="0.2">
      <c r="A20" s="584"/>
      <c r="B20" s="206"/>
      <c r="C20" s="224"/>
      <c r="D20" s="496"/>
      <c r="E20" s="224"/>
      <c r="F20" s="496"/>
      <c r="G20" s="224"/>
      <c r="H20" s="496"/>
      <c r="I20" s="224"/>
      <c r="J20" s="496"/>
      <c r="K20" s="224"/>
      <c r="L20" s="496"/>
      <c r="M20" s="224"/>
      <c r="N20" s="496"/>
      <c r="O20" s="206"/>
      <c r="P20" s="496"/>
      <c r="Q20" s="206"/>
      <c r="R20" s="496"/>
      <c r="S20" s="206"/>
      <c r="T20" s="496"/>
      <c r="U20" s="206"/>
      <c r="V20" s="496"/>
      <c r="W20" s="206"/>
      <c r="X20" s="496"/>
      <c r="Y20" s="206"/>
      <c r="Z20" s="496"/>
      <c r="AA20" s="206"/>
      <c r="AB20" s="496"/>
      <c r="AC20" s="206"/>
      <c r="AD20" s="496"/>
      <c r="AE20" s="206"/>
      <c r="AF20" s="496"/>
      <c r="AG20" s="206"/>
      <c r="AH20" s="496"/>
      <c r="AI20" s="206"/>
      <c r="AJ20" s="496"/>
      <c r="AK20" s="206"/>
      <c r="AL20" s="496"/>
      <c r="AM20" s="206"/>
      <c r="AN20" s="496"/>
      <c r="AO20" s="206"/>
      <c r="AP20" s="496"/>
      <c r="AQ20" s="206"/>
      <c r="AR20" s="496"/>
      <c r="AS20" s="206"/>
      <c r="AT20" s="496"/>
      <c r="AU20" s="206"/>
      <c r="AV20" s="496"/>
      <c r="AW20" s="206"/>
      <c r="AX20" s="496"/>
      <c r="AY20" s="206"/>
      <c r="AZ20" s="496"/>
      <c r="BA20" s="206"/>
      <c r="BB20" s="496"/>
      <c r="BC20" s="206"/>
      <c r="BD20" s="496"/>
      <c r="BE20" s="206"/>
      <c r="BF20" s="496"/>
      <c r="BG20" s="206"/>
      <c r="BH20" s="496"/>
      <c r="BI20" s="206"/>
      <c r="BJ20" s="496"/>
      <c r="BK20" s="206"/>
      <c r="BL20" s="496"/>
      <c r="BM20" s="206"/>
      <c r="BN20" s="496"/>
      <c r="BO20" s="206"/>
      <c r="BP20" s="496"/>
      <c r="BQ20" s="206"/>
      <c r="BR20" s="496"/>
      <c r="BS20" s="206"/>
      <c r="BT20" s="496"/>
      <c r="BU20" s="206"/>
      <c r="BV20" s="496"/>
      <c r="BW20" s="206"/>
      <c r="BX20" s="496"/>
      <c r="BY20" s="206"/>
      <c r="BZ20" s="496"/>
      <c r="CA20" s="206"/>
      <c r="CB20" s="496"/>
      <c r="CC20" s="143"/>
      <c r="CD20" s="496"/>
      <c r="CE20" s="143"/>
      <c r="CF20" s="555"/>
      <c r="CG20" s="143"/>
      <c r="CH20" s="555"/>
      <c r="CI20" s="143"/>
      <c r="CJ20" s="555"/>
      <c r="CK20" s="143"/>
      <c r="CL20" s="555"/>
    </row>
    <row r="21" spans="1:121" s="178" customFormat="1" ht="15" customHeight="1" thickBot="1" x14ac:dyDescent="0.25">
      <c r="A21" s="585" t="s">
        <v>24</v>
      </c>
      <c r="B21" s="176"/>
      <c r="C21" s="176">
        <f>SUM(C11:C20)</f>
        <v>6775</v>
      </c>
      <c r="D21" s="497"/>
      <c r="E21" s="176">
        <f>SUM(E11:E20)</f>
        <v>7033</v>
      </c>
      <c r="F21" s="497"/>
      <c r="G21" s="176">
        <f>SUM(G11:G20)</f>
        <v>7428</v>
      </c>
      <c r="H21" s="497"/>
      <c r="I21" s="176">
        <f>SUM(I11:I20)</f>
        <v>7826</v>
      </c>
      <c r="J21" s="497"/>
      <c r="K21" s="176">
        <f>SUM(K11:K20)</f>
        <v>8104</v>
      </c>
      <c r="L21" s="497"/>
      <c r="M21" s="176">
        <f>SUM(M11:M20)</f>
        <v>8652</v>
      </c>
      <c r="N21" s="497"/>
      <c r="O21" s="176">
        <f>SUM(O11:O20)</f>
        <v>9136</v>
      </c>
      <c r="P21" s="497"/>
      <c r="Q21" s="176">
        <f>SUM(Q11:Q20)</f>
        <v>10263</v>
      </c>
      <c r="R21" s="497"/>
      <c r="S21" s="176">
        <f>SUM(S11:S20)</f>
        <v>11424</v>
      </c>
      <c r="T21" s="497"/>
      <c r="U21" s="176">
        <f>SUM(U11:U20)</f>
        <v>13871</v>
      </c>
      <c r="V21" s="497"/>
      <c r="W21" s="176">
        <f>SUM(W11:W20)</f>
        <v>14953</v>
      </c>
      <c r="X21" s="497"/>
      <c r="Y21" s="176">
        <f>SUM(Y11:Y20)</f>
        <v>16313</v>
      </c>
      <c r="Z21" s="497"/>
      <c r="AA21" s="176">
        <f>SUM(AA11:AA20)</f>
        <v>15836</v>
      </c>
      <c r="AB21" s="497"/>
      <c r="AC21" s="176">
        <f>SUM(AC11:AC20)</f>
        <v>15782</v>
      </c>
      <c r="AD21" s="497"/>
      <c r="AE21" s="176">
        <f>SUM(AE11:AE20)</f>
        <v>16019</v>
      </c>
      <c r="AF21" s="497"/>
      <c r="AG21" s="176">
        <f>SUM(AG11:AG20)</f>
        <v>16290</v>
      </c>
      <c r="AH21" s="497"/>
      <c r="AI21" s="176">
        <f>SUM(AI11:AI20)</f>
        <v>16740</v>
      </c>
      <c r="AJ21" s="497"/>
      <c r="AK21" s="176">
        <f>SUM(AK11:AK20)</f>
        <v>17365</v>
      </c>
      <c r="AL21" s="497"/>
      <c r="AM21" s="176">
        <f>SUM(AM11:AM20)</f>
        <v>19091</v>
      </c>
      <c r="AN21" s="497"/>
      <c r="AO21" s="176">
        <f>SUM(AO11:AO20)</f>
        <v>19541</v>
      </c>
      <c r="AP21" s="497"/>
      <c r="AQ21" s="176">
        <f>SUM(AQ11:AQ20)</f>
        <v>20117</v>
      </c>
      <c r="AR21" s="497"/>
      <c r="AS21" s="176">
        <f>SUM(AS11:AS20)</f>
        <v>20682</v>
      </c>
      <c r="AT21" s="497"/>
      <c r="AU21" s="176">
        <f>SUM(AU11:AU20)</f>
        <v>20915</v>
      </c>
      <c r="AV21" s="497"/>
      <c r="AW21" s="176">
        <f>SUM(AW11:AW20)</f>
        <v>21299</v>
      </c>
      <c r="AX21" s="497"/>
      <c r="AY21" s="176">
        <f>SUM(AY11:AY20)</f>
        <v>21359</v>
      </c>
      <c r="AZ21" s="497"/>
      <c r="BA21" s="176">
        <f>SUM(BA11:BA20)</f>
        <v>21455</v>
      </c>
      <c r="BB21" s="497"/>
      <c r="BC21" s="176">
        <f>SUM(BC11:BC20)</f>
        <v>21476</v>
      </c>
      <c r="BD21" s="497"/>
      <c r="BE21" s="176">
        <f>SUM(BE11:BE20)</f>
        <v>21687</v>
      </c>
      <c r="BF21" s="497"/>
      <c r="BG21" s="176">
        <f>SUM(BG11:BG20)</f>
        <v>21407</v>
      </c>
      <c r="BH21" s="497"/>
      <c r="BI21" s="176">
        <f>SUM(BI11:BI20)</f>
        <v>21791</v>
      </c>
      <c r="BJ21" s="497"/>
      <c r="BK21" s="176">
        <f>SUM(BK11:BK20)</f>
        <v>22622</v>
      </c>
      <c r="BL21" s="497"/>
      <c r="BM21" s="176">
        <f>SUM(BM11:BM20)</f>
        <v>23146</v>
      </c>
      <c r="BN21" s="497"/>
      <c r="BO21" s="176">
        <f>SUM(BO11:BO20)</f>
        <v>23618</v>
      </c>
      <c r="BP21" s="497"/>
      <c r="BQ21" s="176">
        <f>SUM(BQ11:BQ20)</f>
        <v>23801</v>
      </c>
      <c r="BR21" s="497"/>
      <c r="BS21" s="176">
        <f>SUM(BS11:BS20)</f>
        <v>28670</v>
      </c>
      <c r="BT21" s="497"/>
      <c r="BU21" s="176">
        <f>SUM(BU11:BU20)</f>
        <v>29499</v>
      </c>
      <c r="BV21" s="497"/>
      <c r="BW21" s="176">
        <f>SUM(BW11:BW20)</f>
        <v>30497</v>
      </c>
      <c r="BX21" s="497"/>
      <c r="BY21" s="176">
        <f>SUM(BY11:BY20)</f>
        <v>31875</v>
      </c>
      <c r="BZ21" s="497"/>
      <c r="CA21" s="176">
        <f>SUM(CA11:CA20)</f>
        <v>40416</v>
      </c>
      <c r="CB21" s="497"/>
      <c r="CC21" s="176">
        <f>SUM(CC11:CC20)</f>
        <v>40714</v>
      </c>
      <c r="CD21" s="497"/>
      <c r="CE21" s="176">
        <f>SUM(CE11:CE20)</f>
        <v>39181</v>
      </c>
      <c r="CF21" s="497"/>
      <c r="CG21" s="176">
        <f>SUM(CG11:CG20)</f>
        <v>37536</v>
      </c>
      <c r="CH21" s="497"/>
      <c r="CI21" s="176">
        <f>SUM(CI11:CI20)</f>
        <v>36557</v>
      </c>
      <c r="CJ21" s="497"/>
      <c r="CK21" s="176">
        <f>SUM(CK11:CK20)</f>
        <v>36526.540999999997</v>
      </c>
      <c r="CL21" s="497"/>
      <c r="CM21" s="193"/>
      <c r="CN21" s="193"/>
      <c r="CO21" s="193"/>
      <c r="CP21" s="193"/>
      <c r="CQ21" s="193"/>
      <c r="CR21" s="193"/>
      <c r="CS21" s="193"/>
      <c r="CT21" s="193"/>
      <c r="CU21" s="193"/>
      <c r="CV21" s="193"/>
      <c r="CW21" s="193"/>
      <c r="CX21" s="193"/>
      <c r="CY21" s="193"/>
      <c r="CZ21" s="193"/>
      <c r="DA21" s="193"/>
      <c r="DB21" s="193"/>
      <c r="DC21" s="193"/>
      <c r="DD21" s="193"/>
      <c r="DE21" s="193"/>
      <c r="DF21" s="193"/>
      <c r="DG21" s="193"/>
      <c r="DH21" s="193"/>
      <c r="DI21" s="193"/>
      <c r="DJ21" s="193"/>
      <c r="DK21" s="193"/>
      <c r="DL21" s="193"/>
      <c r="DM21" s="193"/>
      <c r="DN21" s="193"/>
      <c r="DO21" s="193"/>
      <c r="DP21" s="193"/>
      <c r="DQ21" s="193"/>
    </row>
    <row r="22" spans="1:121" ht="12.95" customHeight="1" thickTop="1" x14ac:dyDescent="0.2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7"/>
      <c r="BL22" s="27"/>
      <c r="BM22" s="27"/>
      <c r="BN22" s="27"/>
      <c r="BO22" s="27"/>
      <c r="BP22" s="27"/>
      <c r="BQ22" s="27"/>
      <c r="BR22" s="27"/>
      <c r="BS22" s="27"/>
      <c r="BT22" s="27"/>
      <c r="BU22" s="27"/>
      <c r="BV22" s="27"/>
    </row>
    <row r="23" spans="1:121" ht="24" customHeight="1" x14ac:dyDescent="0.2">
      <c r="A23" s="663" t="s">
        <v>356</v>
      </c>
      <c r="B23" s="663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</row>
    <row r="24" spans="1:121" ht="12.95" customHeight="1" x14ac:dyDescent="0.2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7"/>
      <c r="BL24" s="27"/>
      <c r="BM24" s="27"/>
      <c r="BN24" s="27"/>
      <c r="BO24" s="27"/>
      <c r="BP24" s="27"/>
      <c r="BQ24" s="27"/>
      <c r="BR24" s="27"/>
      <c r="BS24" s="27"/>
      <c r="BT24" s="27"/>
      <c r="BU24" s="27"/>
      <c r="BV24" s="27"/>
    </row>
    <row r="25" spans="1:121" s="36" customFormat="1" x14ac:dyDescent="0.2">
      <c r="A25" s="26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6"/>
      <c r="BF25" s="26"/>
      <c r="BG25" s="26"/>
      <c r="BH25" s="26"/>
      <c r="BI25" s="26"/>
      <c r="BJ25" s="26"/>
      <c r="BK25" s="26"/>
      <c r="BL25" s="26"/>
      <c r="BM25" s="37"/>
      <c r="BN25" s="26"/>
      <c r="BO25" s="26"/>
      <c r="BP25" s="26"/>
      <c r="BQ25" s="26"/>
      <c r="BR25" s="26"/>
      <c r="BS25" s="26"/>
      <c r="BT25" s="26"/>
      <c r="BU25" s="26"/>
      <c r="BV25" s="26"/>
    </row>
    <row r="26" spans="1:121" s="36" customFormat="1" x14ac:dyDescent="0.2">
      <c r="A26" s="26"/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6"/>
      <c r="BF26" s="26"/>
      <c r="BG26" s="26"/>
      <c r="BH26" s="26"/>
      <c r="BI26" s="26"/>
      <c r="BJ26" s="26"/>
      <c r="BK26" s="26"/>
      <c r="BL26" s="26"/>
      <c r="BM26" s="37"/>
      <c r="BN26" s="26"/>
      <c r="BO26" s="26"/>
      <c r="BP26" s="26"/>
      <c r="BQ26" s="26"/>
      <c r="BR26" s="26"/>
      <c r="BS26" s="26"/>
      <c r="BT26" s="26"/>
      <c r="BU26" s="26"/>
      <c r="BV26" s="26"/>
    </row>
    <row r="27" spans="1:121" s="36" customFormat="1" x14ac:dyDescent="0.2">
      <c r="A27" s="26"/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  <c r="AY27" s="26"/>
      <c r="AZ27" s="26"/>
      <c r="BA27" s="26"/>
      <c r="BB27" s="26"/>
      <c r="BC27" s="26"/>
      <c r="BD27" s="26"/>
      <c r="BE27" s="26"/>
      <c r="BF27" s="26"/>
      <c r="BG27" s="26"/>
      <c r="BH27" s="26"/>
      <c r="BI27" s="26"/>
      <c r="BJ27" s="26"/>
      <c r="BK27" s="26"/>
      <c r="BL27" s="26"/>
      <c r="BM27" s="37"/>
      <c r="BN27" s="26"/>
      <c r="BO27" s="26"/>
      <c r="BP27" s="26"/>
      <c r="BQ27" s="26"/>
      <c r="BR27" s="26"/>
      <c r="BS27" s="26"/>
      <c r="BT27" s="26"/>
      <c r="BU27" s="26"/>
      <c r="BV27" s="26"/>
    </row>
    <row r="28" spans="1:121" s="36" customFormat="1" x14ac:dyDescent="0.2">
      <c r="A28" s="26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38"/>
      <c r="BN28" s="26"/>
      <c r="BO28" s="26"/>
      <c r="BP28" s="26"/>
      <c r="BQ28" s="26"/>
      <c r="BR28" s="26"/>
      <c r="BS28" s="26"/>
      <c r="BT28" s="26"/>
      <c r="BU28" s="26"/>
      <c r="BV28" s="26"/>
    </row>
    <row r="29" spans="1:121" s="36" customFormat="1" x14ac:dyDescent="0.2">
      <c r="A29" s="26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6"/>
      <c r="BG29" s="26"/>
      <c r="BH29" s="26"/>
      <c r="BI29" s="26"/>
      <c r="BJ29" s="26"/>
      <c r="BK29" s="26"/>
      <c r="BL29" s="26"/>
      <c r="BM29" s="37"/>
      <c r="BN29" s="26"/>
      <c r="BO29" s="26"/>
      <c r="BP29" s="26"/>
      <c r="BQ29" s="26"/>
      <c r="BR29" s="26"/>
      <c r="BS29" s="26"/>
      <c r="BT29" s="26"/>
      <c r="BU29" s="26"/>
      <c r="BV29" s="26"/>
    </row>
    <row r="30" spans="1:121" s="36" customFormat="1" x14ac:dyDescent="0.2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  <c r="BH30" s="26"/>
      <c r="BI30" s="26"/>
      <c r="BJ30" s="26"/>
      <c r="BK30" s="29"/>
      <c r="BL30" s="29"/>
      <c r="BM30" s="37"/>
      <c r="BN30" s="29"/>
      <c r="BO30" s="29"/>
      <c r="BP30" s="29"/>
      <c r="BQ30" s="29"/>
      <c r="BR30" s="29"/>
      <c r="BS30" s="29"/>
      <c r="BT30" s="29"/>
      <c r="BU30" s="29"/>
      <c r="BV30" s="29"/>
      <c r="BW30" s="17"/>
      <c r="BY30" s="17"/>
    </row>
    <row r="31" spans="1:121" s="36" customFormat="1" x14ac:dyDescent="0.2">
      <c r="A31" s="26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9"/>
      <c r="BL31" s="29"/>
      <c r="BM31" s="37"/>
      <c r="BN31" s="29"/>
      <c r="BO31" s="29"/>
      <c r="BP31" s="29"/>
      <c r="BQ31" s="29"/>
      <c r="BR31" s="29"/>
      <c r="BS31" s="29"/>
      <c r="BT31" s="29"/>
      <c r="BU31" s="29"/>
      <c r="BV31" s="29"/>
      <c r="BW31" s="17"/>
      <c r="BY31" s="17"/>
    </row>
    <row r="32" spans="1:121" s="36" customFormat="1" x14ac:dyDescent="0.2">
      <c r="A32" s="26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37"/>
      <c r="BN32" s="26"/>
      <c r="BO32" s="26"/>
      <c r="BP32" s="26"/>
      <c r="BQ32" s="26"/>
      <c r="BR32" s="26"/>
      <c r="BS32" s="26"/>
      <c r="BT32" s="26"/>
      <c r="BU32" s="26"/>
      <c r="BV32" s="26"/>
    </row>
    <row r="33" spans="1:74" s="36" customFormat="1" x14ac:dyDescent="0.2">
      <c r="A33" s="26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6"/>
      <c r="BG33" s="26"/>
      <c r="BH33" s="26"/>
      <c r="BI33" s="26"/>
      <c r="BJ33" s="26"/>
      <c r="BK33" s="26"/>
      <c r="BL33" s="26"/>
      <c r="BM33" s="37"/>
      <c r="BN33" s="26"/>
      <c r="BO33" s="26"/>
      <c r="BP33" s="26"/>
      <c r="BQ33" s="26"/>
      <c r="BR33" s="26"/>
      <c r="BS33" s="26"/>
      <c r="BT33" s="26"/>
      <c r="BU33" s="26"/>
      <c r="BV33" s="26"/>
    </row>
    <row r="34" spans="1:74" s="36" customFormat="1" x14ac:dyDescent="0.2">
      <c r="A34" s="26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  <c r="BM34" s="37"/>
      <c r="BN34" s="26"/>
      <c r="BO34" s="26"/>
      <c r="BP34" s="26"/>
      <c r="BQ34" s="26"/>
      <c r="BR34" s="26"/>
      <c r="BS34" s="26"/>
      <c r="BT34" s="26"/>
      <c r="BU34" s="26"/>
      <c r="BV34" s="26"/>
    </row>
    <row r="35" spans="1:74" s="36" customFormat="1" ht="11.25" x14ac:dyDescent="0.2">
      <c r="A35" s="26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6"/>
      <c r="BG35" s="26"/>
      <c r="BH35" s="26"/>
      <c r="BI35" s="26"/>
      <c r="BJ35" s="26"/>
      <c r="BK35" s="26"/>
      <c r="BL35" s="26"/>
      <c r="BM35" s="26"/>
      <c r="BN35" s="26"/>
      <c r="BO35" s="26"/>
      <c r="BP35" s="26"/>
      <c r="BQ35" s="26"/>
      <c r="BR35" s="26"/>
      <c r="BS35" s="26"/>
      <c r="BT35" s="26"/>
      <c r="BU35" s="26"/>
      <c r="BV35" s="26"/>
    </row>
    <row r="36" spans="1:74" s="36" customFormat="1" ht="11.25" x14ac:dyDescent="0.2">
      <c r="A36" s="26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  <c r="AX36" s="26"/>
      <c r="AY36" s="26"/>
      <c r="AZ36" s="26"/>
      <c r="BA36" s="26"/>
      <c r="BB36" s="26"/>
      <c r="BC36" s="26"/>
      <c r="BD36" s="26"/>
      <c r="BE36" s="26"/>
      <c r="BF36" s="26"/>
      <c r="BG36" s="26"/>
      <c r="BH36" s="26"/>
      <c r="BI36" s="26"/>
      <c r="BJ36" s="26"/>
      <c r="BK36" s="26"/>
      <c r="BL36" s="26"/>
      <c r="BM36" s="26"/>
      <c r="BN36" s="26"/>
      <c r="BO36" s="26"/>
      <c r="BP36" s="26"/>
      <c r="BQ36" s="26"/>
      <c r="BR36" s="26"/>
      <c r="BS36" s="26"/>
      <c r="BT36" s="26"/>
      <c r="BU36" s="26"/>
      <c r="BV36" s="26"/>
    </row>
    <row r="37" spans="1:74" s="36" customFormat="1" ht="11.25" x14ac:dyDescent="0.2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  <c r="BM37" s="26"/>
      <c r="BN37" s="26"/>
      <c r="BO37" s="26"/>
      <c r="BP37" s="26"/>
      <c r="BQ37" s="26"/>
      <c r="BR37" s="26"/>
      <c r="BS37" s="26"/>
      <c r="BT37" s="26"/>
      <c r="BU37" s="26"/>
      <c r="BV37" s="26"/>
    </row>
    <row r="38" spans="1:74" s="36" customFormat="1" ht="11.25" x14ac:dyDescent="0.2">
      <c r="A38" s="26"/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</row>
    <row r="39" spans="1:74" s="36" customFormat="1" ht="11.25" x14ac:dyDescent="0.2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6"/>
      <c r="BI39" s="26"/>
      <c r="BJ39" s="26"/>
      <c r="BK39" s="26"/>
      <c r="BL39" s="26"/>
      <c r="BM39" s="26"/>
      <c r="BN39" s="26"/>
      <c r="BO39" s="26"/>
      <c r="BP39" s="26"/>
      <c r="BQ39" s="26"/>
      <c r="BR39" s="26"/>
      <c r="BS39" s="26"/>
      <c r="BT39" s="26"/>
      <c r="BU39" s="26"/>
      <c r="BV39" s="26"/>
    </row>
    <row r="40" spans="1:74" s="36" customFormat="1" ht="11.25" x14ac:dyDescent="0.2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6"/>
      <c r="BC40" s="26"/>
      <c r="BD40" s="26"/>
      <c r="BE40" s="26"/>
      <c r="BF40" s="26"/>
      <c r="BG40" s="26"/>
      <c r="BH40" s="26"/>
      <c r="BI40" s="26"/>
      <c r="BJ40" s="26"/>
      <c r="BK40" s="26"/>
      <c r="BL40" s="26"/>
      <c r="BM40" s="26"/>
      <c r="BN40" s="26"/>
      <c r="BO40" s="26"/>
      <c r="BP40" s="26"/>
      <c r="BQ40" s="26"/>
      <c r="BR40" s="26"/>
      <c r="BS40" s="26"/>
      <c r="BT40" s="26"/>
      <c r="BU40" s="26"/>
      <c r="BV40" s="26"/>
    </row>
    <row r="41" spans="1:74" s="36" customFormat="1" ht="11.25" x14ac:dyDescent="0.2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</row>
    <row r="42" spans="1:74" s="36" customFormat="1" ht="11.25" x14ac:dyDescent="0.2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</row>
    <row r="43" spans="1:74" s="36" customFormat="1" ht="11.25" x14ac:dyDescent="0.2">
      <c r="A43" s="26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</row>
    <row r="44" spans="1:74" s="36" customFormat="1" ht="11.25" x14ac:dyDescent="0.2">
      <c r="A44" s="26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</row>
    <row r="45" spans="1:74" s="36" customFormat="1" ht="11.25" x14ac:dyDescent="0.2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6"/>
      <c r="BD45" s="26"/>
      <c r="BE45" s="26"/>
      <c r="BF45" s="26"/>
      <c r="BG45" s="26"/>
      <c r="BH45" s="26"/>
      <c r="BI45" s="26"/>
      <c r="BJ45" s="26"/>
      <c r="BK45" s="26"/>
      <c r="BL45" s="26"/>
      <c r="BM45" s="26"/>
      <c r="BN45" s="26"/>
      <c r="BO45" s="26"/>
      <c r="BP45" s="26"/>
      <c r="BQ45" s="26"/>
      <c r="BR45" s="26"/>
      <c r="BS45" s="26"/>
      <c r="BT45" s="26"/>
      <c r="BU45" s="26"/>
      <c r="BV45" s="26"/>
    </row>
    <row r="46" spans="1:74" s="36" customFormat="1" ht="11.25" x14ac:dyDescent="0.2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6"/>
      <c r="BB46" s="26"/>
      <c r="BC46" s="26"/>
      <c r="BD46" s="26"/>
      <c r="BE46" s="26"/>
      <c r="BF46" s="26"/>
      <c r="BG46" s="26"/>
      <c r="BH46" s="26"/>
      <c r="BI46" s="26"/>
      <c r="BJ46" s="26"/>
      <c r="BK46" s="26"/>
      <c r="BL46" s="26"/>
      <c r="BM46" s="26"/>
      <c r="BN46" s="26"/>
      <c r="BO46" s="26"/>
      <c r="BP46" s="26"/>
      <c r="BQ46" s="26"/>
      <c r="BR46" s="26"/>
      <c r="BS46" s="26"/>
      <c r="BT46" s="26"/>
      <c r="BU46" s="26"/>
      <c r="BV46" s="26"/>
    </row>
    <row r="47" spans="1:74" s="36" customFormat="1" ht="11.25" x14ac:dyDescent="0.2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  <c r="AY47" s="26"/>
      <c r="AZ47" s="26"/>
      <c r="BA47" s="26"/>
      <c r="BB47" s="26"/>
      <c r="BC47" s="26"/>
      <c r="BD47" s="26"/>
      <c r="BE47" s="26"/>
      <c r="BF47" s="26"/>
      <c r="BG47" s="26"/>
      <c r="BH47" s="26"/>
      <c r="BI47" s="26"/>
      <c r="BJ47" s="26"/>
      <c r="BK47" s="26"/>
      <c r="BL47" s="26"/>
      <c r="BM47" s="26"/>
      <c r="BN47" s="26"/>
      <c r="BO47" s="26"/>
      <c r="BP47" s="26"/>
      <c r="BQ47" s="26"/>
      <c r="BR47" s="26"/>
      <c r="BS47" s="26"/>
      <c r="BT47" s="26"/>
      <c r="BU47" s="26"/>
      <c r="BV47" s="26"/>
    </row>
    <row r="48" spans="1:74" s="36" customFormat="1" ht="11.25" x14ac:dyDescent="0.2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26"/>
      <c r="BC48" s="26"/>
      <c r="BD48" s="26"/>
      <c r="BE48" s="26"/>
      <c r="BF48" s="26"/>
      <c r="BG48" s="26"/>
      <c r="BH48" s="26"/>
      <c r="BI48" s="26"/>
      <c r="BJ48" s="26"/>
      <c r="BK48" s="26"/>
      <c r="BL48" s="26"/>
      <c r="BM48" s="26"/>
      <c r="BN48" s="26"/>
      <c r="BO48" s="26"/>
      <c r="BP48" s="26"/>
      <c r="BQ48" s="26"/>
      <c r="BR48" s="26"/>
      <c r="BS48" s="26"/>
      <c r="BT48" s="26"/>
      <c r="BU48" s="26"/>
      <c r="BV48" s="26"/>
    </row>
    <row r="49" spans="1:74" s="36" customFormat="1" ht="11.25" x14ac:dyDescent="0.2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</row>
    <row r="50" spans="1:74" s="36" customFormat="1" ht="11.25" x14ac:dyDescent="0.2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6"/>
      <c r="BI50" s="26"/>
      <c r="BJ50" s="26"/>
      <c r="BK50" s="26"/>
      <c r="BL50" s="26"/>
      <c r="BM50" s="26"/>
      <c r="BN50" s="26"/>
      <c r="BO50" s="26"/>
      <c r="BP50" s="26"/>
      <c r="BQ50" s="26"/>
      <c r="BR50" s="26"/>
      <c r="BS50" s="26"/>
      <c r="BT50" s="26"/>
      <c r="BU50" s="26"/>
      <c r="BV50" s="26"/>
    </row>
    <row r="51" spans="1:74" s="36" customFormat="1" ht="11.25" x14ac:dyDescent="0.2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</row>
    <row r="52" spans="1:74" s="36" customFormat="1" ht="11.25" x14ac:dyDescent="0.2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</row>
    <row r="53" spans="1:74" s="36" customFormat="1" ht="11.25" x14ac:dyDescent="0.2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</row>
    <row r="54" spans="1:74" s="36" customFormat="1" ht="11.25" x14ac:dyDescent="0.2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</row>
    <row r="55" spans="1:74" s="36" customFormat="1" ht="11.25" x14ac:dyDescent="0.2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</row>
    <row r="56" spans="1:74" s="36" customFormat="1" ht="11.25" x14ac:dyDescent="0.2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</row>
    <row r="57" spans="1:74" s="36" customFormat="1" ht="11.25" x14ac:dyDescent="0.2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/>
      <c r="BN57" s="26"/>
      <c r="BO57" s="26"/>
      <c r="BP57" s="26"/>
      <c r="BQ57" s="26"/>
      <c r="BR57" s="26"/>
      <c r="BS57" s="26"/>
      <c r="BT57" s="26"/>
      <c r="BU57" s="26"/>
      <c r="BV57" s="26"/>
    </row>
    <row r="58" spans="1:74" s="36" customFormat="1" ht="11.25" x14ac:dyDescent="0.2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26"/>
      <c r="AX58" s="26"/>
      <c r="AY58" s="26"/>
      <c r="AZ58" s="26"/>
      <c r="BA58" s="26"/>
      <c r="BB58" s="26"/>
      <c r="BC58" s="26"/>
      <c r="BD58" s="26"/>
      <c r="BE58" s="26"/>
      <c r="BF58" s="26"/>
      <c r="BG58" s="26"/>
      <c r="BH58" s="26"/>
      <c r="BI58" s="26"/>
      <c r="BJ58" s="26"/>
      <c r="BK58" s="26"/>
      <c r="BL58" s="26"/>
      <c r="BM58" s="26"/>
      <c r="BN58" s="26"/>
      <c r="BO58" s="26"/>
      <c r="BP58" s="26"/>
      <c r="BQ58" s="26"/>
      <c r="BR58" s="26"/>
      <c r="BS58" s="26"/>
      <c r="BT58" s="26"/>
      <c r="BU58" s="26"/>
      <c r="BV58" s="26"/>
    </row>
    <row r="59" spans="1:74" s="36" customFormat="1" ht="11.25" x14ac:dyDescent="0.2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/>
      <c r="AQ59" s="26"/>
      <c r="AR59" s="26"/>
      <c r="AS59" s="26"/>
      <c r="AT59" s="26"/>
      <c r="AU59" s="26"/>
      <c r="AV59" s="26"/>
      <c r="AW59" s="26"/>
      <c r="AX59" s="26"/>
      <c r="AY59" s="26"/>
      <c r="AZ59" s="26"/>
      <c r="BA59" s="26"/>
      <c r="BB59" s="26"/>
      <c r="BC59" s="26"/>
      <c r="BD59" s="26"/>
      <c r="BE59" s="26"/>
      <c r="BF59" s="26"/>
      <c r="BG59" s="26"/>
      <c r="BH59" s="26"/>
      <c r="BI59" s="26"/>
      <c r="BJ59" s="26"/>
      <c r="BK59" s="26"/>
      <c r="BL59" s="26"/>
      <c r="BM59" s="26"/>
      <c r="BN59" s="26"/>
      <c r="BO59" s="26"/>
      <c r="BP59" s="26"/>
      <c r="BQ59" s="26"/>
      <c r="BR59" s="26"/>
      <c r="BS59" s="26"/>
      <c r="BT59" s="26"/>
      <c r="BU59" s="26"/>
      <c r="BV59" s="26"/>
    </row>
    <row r="60" spans="1:74" s="36" customFormat="1" ht="11.25" x14ac:dyDescent="0.2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</row>
    <row r="61" spans="1:74" s="36" customFormat="1" ht="11.25" x14ac:dyDescent="0.2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</row>
    <row r="62" spans="1:74" s="36" customFormat="1" ht="11.25" x14ac:dyDescent="0.2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</row>
    <row r="63" spans="1:74" s="36" customFormat="1" ht="11.25" x14ac:dyDescent="0.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</row>
    <row r="64" spans="1:74" s="36" customFormat="1" ht="11.25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</row>
    <row r="65" spans="1:74" s="36" customFormat="1" ht="11.25" x14ac:dyDescent="0.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</row>
    <row r="66" spans="1:74" s="36" customFormat="1" ht="11.25" x14ac:dyDescent="0.2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</row>
    <row r="67" spans="1:74" s="36" customFormat="1" ht="11.25" x14ac:dyDescent="0.2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</row>
    <row r="68" spans="1:74" s="36" customFormat="1" ht="11.25" x14ac:dyDescent="0.2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</row>
    <row r="69" spans="1:74" s="36" customFormat="1" ht="11.25" x14ac:dyDescent="0.2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</row>
    <row r="70" spans="1:74" s="36" customFormat="1" ht="11.25" x14ac:dyDescent="0.2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</row>
    <row r="71" spans="1:74" s="36" customFormat="1" ht="11.25" x14ac:dyDescent="0.2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</row>
    <row r="72" spans="1:74" s="36" customFormat="1" ht="11.25" x14ac:dyDescent="0.2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</row>
    <row r="73" spans="1:74" s="36" customFormat="1" ht="11.25" x14ac:dyDescent="0.2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  <c r="AY73" s="26"/>
      <c r="AZ73" s="26"/>
      <c r="BA73" s="26"/>
      <c r="BB73" s="26"/>
      <c r="BC73" s="26"/>
      <c r="BD73" s="26"/>
      <c r="BE73" s="26"/>
      <c r="BF73" s="26"/>
      <c r="BG73" s="26"/>
      <c r="BH73" s="26"/>
      <c r="BI73" s="26"/>
      <c r="BJ73" s="26"/>
      <c r="BK73" s="26"/>
      <c r="BL73" s="26"/>
      <c r="BM73" s="26"/>
      <c r="BN73" s="26"/>
      <c r="BO73" s="26"/>
      <c r="BP73" s="26"/>
      <c r="BQ73" s="26"/>
      <c r="BR73" s="26"/>
      <c r="BS73" s="26"/>
      <c r="BT73" s="26"/>
      <c r="BU73" s="26"/>
      <c r="BV73" s="26"/>
    </row>
    <row r="74" spans="1:74" s="36" customFormat="1" ht="11.25" x14ac:dyDescent="0.2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26"/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26"/>
      <c r="BU74" s="26"/>
      <c r="BV74" s="26"/>
    </row>
    <row r="75" spans="1:74" s="36" customFormat="1" ht="11.25" x14ac:dyDescent="0.2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26"/>
      <c r="BU75" s="26"/>
      <c r="BV75" s="26"/>
    </row>
    <row r="76" spans="1:74" s="36" customFormat="1" ht="11.25" x14ac:dyDescent="0.2">
      <c r="A76" s="26"/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  <c r="BO76" s="26"/>
      <c r="BP76" s="26"/>
      <c r="BQ76" s="26"/>
      <c r="BR76" s="26"/>
      <c r="BS76" s="26"/>
      <c r="BT76" s="26"/>
      <c r="BU76" s="26"/>
      <c r="BV76" s="26"/>
    </row>
    <row r="77" spans="1:74" s="36" customFormat="1" ht="11.25" x14ac:dyDescent="0.2">
      <c r="A77" s="26"/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6"/>
      <c r="BC77" s="26"/>
      <c r="BD77" s="26"/>
      <c r="BE77" s="26"/>
      <c r="BF77" s="26"/>
      <c r="BG77" s="26"/>
      <c r="BH77" s="26"/>
      <c r="BI77" s="26"/>
      <c r="BJ77" s="26"/>
      <c r="BK77" s="26"/>
      <c r="BL77" s="26"/>
      <c r="BM77" s="26"/>
      <c r="BN77" s="26"/>
      <c r="BO77" s="26"/>
      <c r="BP77" s="26"/>
      <c r="BQ77" s="26"/>
      <c r="BR77" s="26"/>
      <c r="BS77" s="26"/>
      <c r="BT77" s="26"/>
      <c r="BU77" s="26"/>
      <c r="BV77" s="26"/>
    </row>
    <row r="78" spans="1:74" s="36" customFormat="1" ht="11.25" x14ac:dyDescent="0.2">
      <c r="A78" s="26"/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  <c r="AS78" s="26"/>
      <c r="AT78" s="26"/>
      <c r="AU78" s="26"/>
      <c r="AV78" s="26"/>
      <c r="AW78" s="26"/>
      <c r="AX78" s="26"/>
      <c r="AY78" s="26"/>
      <c r="AZ78" s="26"/>
      <c r="BA78" s="26"/>
      <c r="BB78" s="26"/>
      <c r="BC78" s="26"/>
      <c r="BD78" s="26"/>
      <c r="BE78" s="26"/>
      <c r="BF78" s="26"/>
      <c r="BG78" s="26"/>
      <c r="BH78" s="26"/>
      <c r="BI78" s="26"/>
      <c r="BJ78" s="26"/>
      <c r="BK78" s="26"/>
      <c r="BL78" s="26"/>
      <c r="BM78" s="26"/>
      <c r="BN78" s="26"/>
      <c r="BO78" s="26"/>
      <c r="BP78" s="26"/>
      <c r="BQ78" s="26"/>
      <c r="BR78" s="26"/>
      <c r="BS78" s="26"/>
      <c r="BT78" s="26"/>
      <c r="BU78" s="26"/>
      <c r="BV78" s="26"/>
    </row>
    <row r="79" spans="1:74" s="36" customFormat="1" ht="11.25" x14ac:dyDescent="0.2">
      <c r="A79" s="26"/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  <c r="AM79" s="26"/>
      <c r="AN79" s="26"/>
      <c r="AO79" s="26"/>
      <c r="AP79" s="26"/>
      <c r="AQ79" s="26"/>
      <c r="AR79" s="26"/>
      <c r="AS79" s="26"/>
      <c r="AT79" s="26"/>
      <c r="AU79" s="26"/>
      <c r="AV79" s="26"/>
      <c r="AW79" s="26"/>
      <c r="AX79" s="26"/>
      <c r="AY79" s="26"/>
      <c r="AZ79" s="26"/>
      <c r="BA79" s="26"/>
      <c r="BB79" s="26"/>
      <c r="BC79" s="26"/>
      <c r="BD79" s="26"/>
      <c r="BE79" s="26"/>
      <c r="BF79" s="26"/>
      <c r="BG79" s="26"/>
      <c r="BH79" s="26"/>
      <c r="BI79" s="26"/>
      <c r="BJ79" s="26"/>
      <c r="BK79" s="26"/>
      <c r="BL79" s="26"/>
      <c r="BM79" s="26"/>
      <c r="BN79" s="26"/>
      <c r="BO79" s="26"/>
      <c r="BP79" s="26"/>
      <c r="BQ79" s="26"/>
      <c r="BR79" s="26"/>
      <c r="BS79" s="26"/>
      <c r="BT79" s="26"/>
      <c r="BU79" s="26"/>
      <c r="BV79" s="26"/>
    </row>
  </sheetData>
  <customSheetViews>
    <customSheetView guid="{B7440494-8EA9-4463-9947-E5D20E74049D}" showGridLines="0">
      <pane xSplit="2" ySplit="10" topLeftCell="BV11" activePane="bottomRight" state="frozen"/>
      <selection pane="bottomRight" activeCell="CD5" sqref="CD5"/>
      <colBreaks count="4" manualBreakCount="4">
        <brk id="18" min="1" max="23" man="1"/>
        <brk id="34" min="1" max="23" man="1"/>
        <brk id="50" min="1" max="23" man="1"/>
        <brk id="66" min="1" max="23" man="1"/>
      </colBreaks>
      <pageMargins left="0" right="0" top="0.78740157480314965" bottom="0" header="0" footer="0"/>
      <printOptions horizontalCentered="1"/>
      <pageSetup paperSize="9" scale="67" fitToWidth="5" orientation="landscape" r:id="rId1"/>
      <headerFooter alignWithMargins="0">
        <oddHeader>&amp;R&amp;P/&amp;N</oddHeader>
      </headerFooter>
    </customSheetView>
    <customSheetView guid="{6D89F6EF-F5AD-478F-979A-5AF1BC78EF91}" showGridLines="0">
      <pane xSplit="4" ySplit="12" topLeftCell="E13" activePane="bottomRight" state="frozen"/>
      <selection pane="bottomRight" activeCell="E14" sqref="E14:G22"/>
      <colBreaks count="6" manualBreakCount="6">
        <brk id="19" max="27" man="1"/>
        <brk id="35" max="27" man="1"/>
        <brk id="51" max="27" man="1"/>
        <brk id="67" max="27" man="1"/>
        <brk id="83" max="27" man="1"/>
        <brk id="99" max="27" man="1"/>
      </colBreaks>
      <pageMargins left="0" right="0" top="1.1811023622047245" bottom="0" header="0" footer="0"/>
      <printOptions horizontalCentered="1"/>
      <pageSetup paperSize="9" orientation="landscape" r:id="rId2"/>
      <headerFooter alignWithMargins="0"/>
    </customSheetView>
    <customSheetView guid="{A9134056-6B1C-4A42-AFE9-9712EF3EF3D4}" showPageBreaks="1" showGridLines="0" printArea="1">
      <pane xSplit="4" ySplit="12" topLeftCell="E13" activePane="bottomRight" state="frozen"/>
      <selection pane="bottomRight" activeCell="E14" sqref="E14:G22"/>
      <colBreaks count="8" manualBreakCount="8">
        <brk id="12" min="1" max="24" man="1"/>
        <brk id="19" max="27" man="1"/>
        <brk id="29" min="1" max="24" man="1"/>
        <brk id="35" max="27" man="1"/>
        <brk id="51" max="27" man="1"/>
        <brk id="67" max="27" man="1"/>
        <brk id="83" max="27" man="1"/>
        <brk id="99" max="27" man="1"/>
      </colBreaks>
      <pageMargins left="0" right="0" top="1.1811023622047245" bottom="0" header="0" footer="0"/>
      <printOptions horizontalCentered="1"/>
      <pageSetup paperSize="9" orientation="landscape" r:id="rId3"/>
      <headerFooter alignWithMargins="0"/>
    </customSheetView>
  </customSheetViews>
  <mergeCells count="45">
    <mergeCell ref="CK7:CL7"/>
    <mergeCell ref="CC7:CD7"/>
    <mergeCell ref="BM7:BN7"/>
    <mergeCell ref="BO7:BP7"/>
    <mergeCell ref="BQ7:BR7"/>
    <mergeCell ref="BS7:BT7"/>
    <mergeCell ref="BU7:BV7"/>
    <mergeCell ref="BW7:BX7"/>
    <mergeCell ref="CA7:CB7"/>
    <mergeCell ref="CI7:CJ7"/>
    <mergeCell ref="CG7:CH7"/>
    <mergeCell ref="CE7:CF7"/>
    <mergeCell ref="BY7:BZ7"/>
    <mergeCell ref="AI7:AJ7"/>
    <mergeCell ref="C7:D7"/>
    <mergeCell ref="E7:F7"/>
    <mergeCell ref="G7:H7"/>
    <mergeCell ref="I7:J7"/>
    <mergeCell ref="K7:L7"/>
    <mergeCell ref="M7:N7"/>
    <mergeCell ref="AG7:AH7"/>
    <mergeCell ref="W7:X7"/>
    <mergeCell ref="Y7:Z7"/>
    <mergeCell ref="AA7:AB7"/>
    <mergeCell ref="AC7:AD7"/>
    <mergeCell ref="AE7:AF7"/>
    <mergeCell ref="I6:J6"/>
    <mergeCell ref="O7:P7"/>
    <mergeCell ref="Q7:R7"/>
    <mergeCell ref="S7:T7"/>
    <mergeCell ref="U7:V7"/>
    <mergeCell ref="BI7:BJ7"/>
    <mergeCell ref="BK7:BL7"/>
    <mergeCell ref="AK7:AL7"/>
    <mergeCell ref="AM7:AN7"/>
    <mergeCell ref="AO7:AP7"/>
    <mergeCell ref="AQ7:AR7"/>
    <mergeCell ref="AS7:AT7"/>
    <mergeCell ref="AU7:AV7"/>
    <mergeCell ref="BA7:BB7"/>
    <mergeCell ref="BC7:BD7"/>
    <mergeCell ref="BE7:BF7"/>
    <mergeCell ref="BG7:BH7"/>
    <mergeCell ref="AW7:AX7"/>
    <mergeCell ref="AY7:AZ7"/>
  </mergeCells>
  <hyperlinks>
    <hyperlink ref="CL6" location="Índex!E9" display="Índex"/>
  </hyperlinks>
  <printOptions horizontalCentered="1" gridLinesSet="0"/>
  <pageMargins left="0" right="0" top="0.39370078740157483" bottom="0" header="0" footer="0"/>
  <pageSetup paperSize="9" scale="74" orientation="landscape" r:id="rId4"/>
  <headerFooter alignWithMargins="0">
    <oddHeader>&amp;R&amp;P/&amp;N</oddHeader>
  </headerFooter>
  <colBreaks count="6" manualBreakCount="6">
    <brk id="18" max="24" man="1"/>
    <brk id="34" max="24" man="1"/>
    <brk id="50" max="24" man="1"/>
    <brk id="66" max="24" man="1"/>
    <brk id="82" max="24" man="1"/>
    <brk id="99" max="27" man="1"/>
  </colBreaks>
  <drawing r:id="rId5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H67"/>
  <sheetViews>
    <sheetView showGridLines="0" zoomScaleNormal="100" workbookViewId="0">
      <pane xSplit="1" ySplit="8" topLeftCell="B9" activePane="bottomRight" state="frozen"/>
      <selection activeCell="E9" sqref="E9"/>
      <selection pane="topRight" activeCell="E9" sqref="E9"/>
      <selection pane="bottomLeft" activeCell="E9" sqref="E9"/>
      <selection pane="bottomRight" activeCell="E9" sqref="E9"/>
    </sheetView>
  </sheetViews>
  <sheetFormatPr defaultColWidth="12.5703125" defaultRowHeight="12.75" x14ac:dyDescent="0.2"/>
  <cols>
    <col min="1" max="1" width="50.85546875" style="653" customWidth="1"/>
    <col min="2" max="16384" width="12.5703125" style="646"/>
  </cols>
  <sheetData>
    <row r="1" spans="1:216" s="600" customFormat="1" ht="15" customHeight="1" x14ac:dyDescent="0.2">
      <c r="A1" s="595"/>
      <c r="B1" s="597"/>
      <c r="C1" s="598"/>
      <c r="D1" s="598"/>
      <c r="E1" s="598"/>
      <c r="F1" s="598"/>
      <c r="G1" s="596"/>
      <c r="H1" s="598"/>
      <c r="I1" s="598"/>
      <c r="J1" s="598"/>
      <c r="K1" s="598"/>
      <c r="L1" s="598"/>
      <c r="M1" s="598"/>
      <c r="N1" s="598"/>
      <c r="O1" s="598"/>
      <c r="P1" s="598"/>
      <c r="Q1" s="598"/>
      <c r="R1" s="598"/>
      <c r="S1" s="598"/>
      <c r="T1" s="598"/>
      <c r="U1" s="598"/>
      <c r="V1" s="598"/>
      <c r="W1" s="598"/>
      <c r="X1" s="598"/>
      <c r="Y1" s="598"/>
      <c r="Z1" s="598"/>
      <c r="AA1" s="598"/>
      <c r="AB1" s="598"/>
      <c r="AC1" s="598"/>
      <c r="AD1" s="598"/>
      <c r="AE1" s="598"/>
      <c r="AF1" s="598"/>
      <c r="AG1" s="598"/>
      <c r="AH1" s="598"/>
      <c r="AI1" s="598"/>
      <c r="AJ1" s="598"/>
      <c r="AK1" s="598"/>
      <c r="AL1" s="598"/>
      <c r="AM1" s="598"/>
      <c r="AN1" s="598"/>
      <c r="AO1" s="598"/>
      <c r="AP1" s="598"/>
      <c r="AQ1" s="599"/>
      <c r="AR1" s="598"/>
      <c r="AS1" s="599"/>
      <c r="AT1" s="598"/>
      <c r="AU1" s="599"/>
      <c r="AV1" s="598"/>
      <c r="AW1" s="599"/>
      <c r="AX1" s="598"/>
      <c r="AY1" s="599"/>
      <c r="AZ1" s="598"/>
      <c r="BA1" s="599"/>
      <c r="BB1" s="598"/>
      <c r="BC1" s="599"/>
      <c r="BD1" s="598"/>
      <c r="BE1" s="599"/>
      <c r="BF1" s="598"/>
      <c r="BG1" s="599"/>
      <c r="BH1" s="598"/>
      <c r="BI1" s="599"/>
      <c r="BJ1" s="598"/>
      <c r="BK1" s="599"/>
      <c r="BL1" s="598"/>
      <c r="BM1" s="599"/>
      <c r="BN1" s="598"/>
      <c r="BO1" s="599"/>
      <c r="BP1" s="598"/>
      <c r="BQ1" s="599"/>
      <c r="BR1" s="598"/>
      <c r="BS1" s="599"/>
      <c r="BT1" s="598"/>
      <c r="BU1" s="599"/>
      <c r="BV1" s="598"/>
      <c r="BW1" s="599"/>
      <c r="BX1" s="597"/>
      <c r="BY1" s="597"/>
      <c r="BZ1" s="598"/>
      <c r="CA1" s="599"/>
      <c r="CB1" s="596"/>
      <c r="CC1" s="596"/>
      <c r="CD1" s="596"/>
      <c r="CE1" s="596"/>
      <c r="CF1" s="596"/>
      <c r="CG1" s="599"/>
      <c r="CH1" s="596"/>
      <c r="CI1" s="599"/>
      <c r="CJ1" s="596"/>
      <c r="CK1" s="596"/>
      <c r="CL1" s="596"/>
      <c r="CM1" s="595"/>
      <c r="CN1" s="595"/>
      <c r="CO1" s="598"/>
      <c r="CP1" s="599"/>
      <c r="CQ1" s="598"/>
      <c r="CR1" s="599"/>
      <c r="CS1" s="598"/>
      <c r="CT1" s="599"/>
      <c r="CU1" s="598"/>
      <c r="CV1" s="599"/>
      <c r="CW1" s="598"/>
      <c r="CX1" s="599"/>
      <c r="CY1" s="598"/>
      <c r="CZ1" s="599"/>
      <c r="DA1" s="598"/>
      <c r="DB1" s="599"/>
      <c r="DC1" s="598"/>
      <c r="DD1" s="599"/>
      <c r="DE1" s="598"/>
      <c r="DF1" s="599"/>
      <c r="DG1" s="598"/>
      <c r="DH1" s="599"/>
      <c r="DI1" s="598"/>
      <c r="DJ1" s="599"/>
      <c r="DK1" s="598"/>
      <c r="DL1" s="599"/>
      <c r="DM1" s="598"/>
      <c r="DN1" s="599"/>
      <c r="DO1" s="598"/>
      <c r="DP1" s="599"/>
      <c r="DQ1" s="598"/>
      <c r="DR1" s="599"/>
      <c r="DS1" s="598"/>
      <c r="DT1" s="599"/>
      <c r="DU1" s="598"/>
      <c r="DV1" s="599"/>
      <c r="DW1" s="598"/>
      <c r="DX1" s="599"/>
      <c r="DY1" s="598"/>
      <c r="DZ1" s="599"/>
      <c r="EA1" s="598"/>
      <c r="EB1" s="599"/>
      <c r="EC1" s="597"/>
      <c r="ED1" s="597"/>
      <c r="EE1" s="598"/>
      <c r="EF1" s="599"/>
      <c r="EG1" s="596"/>
      <c r="EH1" s="596"/>
      <c r="EI1" s="596"/>
      <c r="EJ1" s="596"/>
      <c r="EK1" s="596"/>
      <c r="EL1" s="599"/>
      <c r="EM1" s="596"/>
      <c r="EN1" s="599"/>
      <c r="EO1" s="596"/>
      <c r="EP1" s="596"/>
      <c r="EQ1" s="596"/>
      <c r="ER1" s="595"/>
      <c r="ES1" s="595"/>
      <c r="ET1" s="598"/>
      <c r="EU1" s="599"/>
      <c r="EV1" s="598"/>
      <c r="EW1" s="599"/>
      <c r="EX1" s="598"/>
      <c r="EY1" s="599"/>
      <c r="EZ1" s="598"/>
      <c r="FA1" s="599"/>
      <c r="FB1" s="598"/>
      <c r="FC1" s="599"/>
      <c r="FD1" s="598"/>
      <c r="FE1" s="599"/>
      <c r="FF1" s="598"/>
      <c r="FG1" s="599"/>
      <c r="FH1" s="598"/>
      <c r="FI1" s="599"/>
      <c r="FJ1" s="598"/>
      <c r="FK1" s="599"/>
      <c r="FL1" s="598"/>
      <c r="FM1" s="599"/>
      <c r="FN1" s="598"/>
      <c r="FO1" s="599"/>
      <c r="FP1" s="598"/>
      <c r="FQ1" s="599"/>
      <c r="FR1" s="598"/>
      <c r="FS1" s="599"/>
      <c r="FT1" s="598"/>
      <c r="FU1" s="599"/>
      <c r="FV1" s="598"/>
      <c r="FW1" s="599"/>
      <c r="FX1" s="598"/>
      <c r="FY1" s="599"/>
      <c r="FZ1" s="598"/>
      <c r="GA1" s="599"/>
      <c r="GB1" s="598"/>
      <c r="GC1" s="599"/>
      <c r="GD1" s="598"/>
      <c r="GE1" s="599"/>
      <c r="GF1" s="598"/>
      <c r="GG1" s="599"/>
      <c r="GH1" s="597"/>
      <c r="GI1" s="597"/>
      <c r="GJ1" s="598"/>
      <c r="GK1" s="599"/>
      <c r="GL1" s="596"/>
      <c r="GM1" s="596"/>
      <c r="GN1" s="596"/>
      <c r="GO1" s="596"/>
      <c r="GP1" s="596"/>
      <c r="GQ1" s="599"/>
      <c r="GR1" s="596"/>
      <c r="GS1" s="599"/>
      <c r="GT1" s="596"/>
      <c r="GU1" s="596"/>
      <c r="GV1" s="596"/>
      <c r="GW1" s="595"/>
      <c r="GX1" s="595"/>
      <c r="GY1" s="598"/>
      <c r="GZ1" s="599"/>
      <c r="HA1" s="598"/>
      <c r="HB1" s="599"/>
      <c r="HC1" s="598"/>
      <c r="HD1" s="599"/>
      <c r="HE1" s="598"/>
      <c r="HF1" s="599"/>
      <c r="HG1" s="598"/>
      <c r="HH1" s="599"/>
    </row>
    <row r="2" spans="1:216" s="600" customFormat="1" ht="15" customHeight="1" x14ac:dyDescent="0.2">
      <c r="A2" s="595"/>
      <c r="B2" s="597"/>
      <c r="C2" s="598"/>
      <c r="D2" s="598"/>
      <c r="E2" s="598"/>
      <c r="F2" s="598"/>
      <c r="G2" s="596"/>
      <c r="H2" s="598"/>
      <c r="I2" s="598"/>
      <c r="J2" s="598"/>
      <c r="K2" s="598"/>
      <c r="L2" s="598"/>
      <c r="M2" s="598"/>
      <c r="N2" s="598"/>
      <c r="O2" s="598"/>
      <c r="P2" s="598"/>
      <c r="Q2" s="598"/>
      <c r="R2" s="598"/>
      <c r="S2" s="598"/>
      <c r="T2" s="598"/>
      <c r="U2" s="598"/>
      <c r="V2" s="598"/>
      <c r="W2" s="598"/>
      <c r="X2" s="598"/>
      <c r="Y2" s="598"/>
      <c r="Z2" s="598"/>
      <c r="AA2" s="598"/>
      <c r="AB2" s="598"/>
      <c r="AC2" s="598"/>
      <c r="AD2" s="598"/>
      <c r="AE2" s="598"/>
      <c r="AF2" s="598"/>
      <c r="AG2" s="598"/>
      <c r="AH2" s="598"/>
      <c r="AI2" s="598"/>
      <c r="AJ2" s="598"/>
      <c r="AK2" s="598"/>
      <c r="AL2" s="598"/>
      <c r="AM2" s="598"/>
      <c r="AN2" s="598"/>
      <c r="AO2" s="598"/>
      <c r="AP2" s="598"/>
      <c r="AQ2" s="599"/>
      <c r="AR2" s="598"/>
      <c r="AS2" s="599"/>
      <c r="AT2" s="598"/>
      <c r="AU2" s="599"/>
      <c r="AV2" s="598"/>
      <c r="AW2" s="599"/>
      <c r="AX2" s="598"/>
      <c r="AY2" s="599"/>
      <c r="AZ2" s="598"/>
      <c r="BA2" s="599"/>
      <c r="BB2" s="598"/>
      <c r="BC2" s="599"/>
      <c r="BD2" s="598"/>
      <c r="BE2" s="599"/>
      <c r="BF2" s="598"/>
      <c r="BG2" s="599"/>
      <c r="BH2" s="598"/>
      <c r="BI2" s="599"/>
      <c r="BJ2" s="598"/>
      <c r="BK2" s="599"/>
      <c r="BL2" s="598"/>
      <c r="BM2" s="599"/>
      <c r="BN2" s="598"/>
      <c r="BO2" s="599"/>
      <c r="BP2" s="598"/>
      <c r="BQ2" s="599"/>
      <c r="BR2" s="598"/>
      <c r="BS2" s="599"/>
      <c r="BT2" s="598"/>
      <c r="BU2" s="599"/>
      <c r="BV2" s="598"/>
      <c r="BW2" s="599"/>
      <c r="BX2" s="597"/>
      <c r="BY2" s="597"/>
      <c r="BZ2" s="598"/>
      <c r="CA2" s="599"/>
      <c r="CB2" s="596"/>
      <c r="CC2" s="596"/>
      <c r="CD2" s="596"/>
      <c r="CE2" s="596"/>
      <c r="CF2" s="596"/>
      <c r="CG2" s="599"/>
      <c r="CH2" s="596"/>
      <c r="CI2" s="599"/>
      <c r="CJ2" s="596"/>
      <c r="CK2" s="596"/>
      <c r="CL2" s="596"/>
      <c r="CM2" s="595"/>
      <c r="CN2" s="595"/>
      <c r="CO2" s="598"/>
      <c r="CP2" s="599"/>
      <c r="CQ2" s="598"/>
      <c r="CR2" s="599"/>
      <c r="CS2" s="598"/>
      <c r="CT2" s="599"/>
      <c r="CU2" s="598"/>
      <c r="CV2" s="599"/>
      <c r="CW2" s="598"/>
      <c r="CX2" s="599"/>
      <c r="CY2" s="598"/>
      <c r="CZ2" s="599"/>
      <c r="DA2" s="598"/>
      <c r="DB2" s="599"/>
      <c r="DC2" s="598"/>
      <c r="DD2" s="599"/>
      <c r="DE2" s="598"/>
      <c r="DF2" s="599"/>
      <c r="DG2" s="598"/>
      <c r="DH2" s="599"/>
      <c r="DI2" s="598"/>
      <c r="DJ2" s="599"/>
      <c r="DK2" s="598"/>
      <c r="DL2" s="599"/>
      <c r="DM2" s="598"/>
      <c r="DN2" s="599"/>
      <c r="DO2" s="598"/>
      <c r="DP2" s="599"/>
      <c r="DQ2" s="598"/>
      <c r="DR2" s="599"/>
      <c r="DS2" s="598"/>
      <c r="DT2" s="599"/>
      <c r="DU2" s="598"/>
      <c r="DV2" s="599"/>
      <c r="DW2" s="598"/>
      <c r="DX2" s="599"/>
      <c r="DY2" s="598"/>
      <c r="DZ2" s="599"/>
      <c r="EA2" s="598"/>
      <c r="EB2" s="599"/>
      <c r="EC2" s="597"/>
      <c r="ED2" s="597"/>
      <c r="EE2" s="598"/>
      <c r="EF2" s="599"/>
      <c r="EG2" s="596"/>
      <c r="EH2" s="596"/>
      <c r="EI2" s="596"/>
      <c r="EJ2" s="596"/>
      <c r="EK2" s="596"/>
      <c r="EL2" s="599"/>
      <c r="EM2" s="596"/>
      <c r="EN2" s="599"/>
      <c r="EO2" s="596"/>
      <c r="EP2" s="596"/>
      <c r="EQ2" s="596"/>
      <c r="ER2" s="595"/>
      <c r="ES2" s="595"/>
      <c r="ET2" s="598"/>
      <c r="EU2" s="599"/>
      <c r="EV2" s="598"/>
      <c r="EW2" s="599"/>
      <c r="EX2" s="598"/>
      <c r="EY2" s="599"/>
      <c r="EZ2" s="598"/>
      <c r="FA2" s="599"/>
      <c r="FB2" s="598"/>
      <c r="FC2" s="599"/>
      <c r="FD2" s="598"/>
      <c r="FE2" s="599"/>
      <c r="FF2" s="598"/>
      <c r="FG2" s="599"/>
      <c r="FH2" s="598"/>
      <c r="FI2" s="599"/>
      <c r="FJ2" s="598"/>
      <c r="FK2" s="599"/>
      <c r="FL2" s="598"/>
      <c r="FM2" s="599"/>
      <c r="FN2" s="598"/>
      <c r="FO2" s="599"/>
      <c r="FP2" s="598"/>
      <c r="FQ2" s="599"/>
      <c r="FR2" s="598"/>
      <c r="FS2" s="599"/>
      <c r="FT2" s="598"/>
      <c r="FU2" s="599"/>
      <c r="FV2" s="598"/>
      <c r="FW2" s="599"/>
      <c r="FX2" s="598"/>
      <c r="FY2" s="599"/>
      <c r="FZ2" s="598"/>
      <c r="GA2" s="599"/>
      <c r="GB2" s="598"/>
      <c r="GC2" s="599"/>
      <c r="GD2" s="598"/>
      <c r="GE2" s="599"/>
      <c r="GF2" s="598"/>
      <c r="GG2" s="599"/>
      <c r="GH2" s="597"/>
      <c r="GI2" s="597"/>
      <c r="GJ2" s="598"/>
      <c r="GK2" s="599"/>
      <c r="GL2" s="596"/>
      <c r="GM2" s="596"/>
      <c r="GN2" s="596"/>
      <c r="GO2" s="596"/>
      <c r="GP2" s="596"/>
      <c r="GQ2" s="599"/>
      <c r="GR2" s="596"/>
      <c r="GS2" s="599"/>
      <c r="GT2" s="596"/>
      <c r="GU2" s="596"/>
      <c r="GV2" s="596"/>
      <c r="GW2" s="595"/>
      <c r="GX2" s="595"/>
      <c r="GY2" s="598"/>
      <c r="GZ2" s="599"/>
      <c r="HA2" s="598"/>
      <c r="HB2" s="599"/>
      <c r="HC2" s="598"/>
      <c r="HD2" s="599"/>
      <c r="HE2" s="598"/>
      <c r="HF2" s="599"/>
      <c r="HG2" s="598"/>
      <c r="HH2" s="599"/>
    </row>
    <row r="3" spans="1:216" s="600" customFormat="1" ht="15" customHeight="1" x14ac:dyDescent="0.2">
      <c r="A3" s="595"/>
      <c r="B3" s="597"/>
      <c r="C3" s="598"/>
      <c r="D3" s="598"/>
      <c r="E3" s="598"/>
      <c r="F3" s="598"/>
      <c r="G3" s="596"/>
      <c r="H3" s="598"/>
      <c r="I3" s="598"/>
      <c r="J3" s="598"/>
      <c r="K3" s="598"/>
      <c r="L3" s="598"/>
      <c r="M3" s="598"/>
      <c r="N3" s="598"/>
      <c r="O3" s="598"/>
      <c r="P3" s="598"/>
      <c r="Q3" s="598"/>
      <c r="R3" s="598"/>
      <c r="S3" s="598"/>
      <c r="T3" s="598"/>
      <c r="U3" s="598"/>
      <c r="V3" s="598"/>
      <c r="W3" s="598"/>
      <c r="X3" s="598"/>
      <c r="Y3" s="598"/>
      <c r="Z3" s="598"/>
      <c r="AA3" s="598"/>
      <c r="AB3" s="598"/>
      <c r="AC3" s="598"/>
      <c r="AD3" s="598"/>
      <c r="AE3" s="598"/>
      <c r="AF3" s="598"/>
      <c r="AG3" s="598"/>
      <c r="AH3" s="598"/>
      <c r="AI3" s="598"/>
      <c r="AJ3" s="598"/>
      <c r="AK3" s="598"/>
      <c r="AL3" s="598"/>
      <c r="AM3" s="598"/>
      <c r="AN3" s="598"/>
      <c r="AO3" s="598"/>
      <c r="AP3" s="598"/>
      <c r="AQ3" s="599"/>
      <c r="AR3" s="598"/>
      <c r="AS3" s="599"/>
      <c r="AT3" s="598"/>
      <c r="AU3" s="599"/>
      <c r="AV3" s="598"/>
      <c r="AW3" s="599"/>
      <c r="AX3" s="598"/>
      <c r="AY3" s="599"/>
      <c r="AZ3" s="598"/>
      <c r="BA3" s="599"/>
      <c r="BB3" s="598"/>
      <c r="BC3" s="599"/>
      <c r="BD3" s="598"/>
      <c r="BE3" s="599"/>
      <c r="BF3" s="598"/>
      <c r="BG3" s="599"/>
      <c r="BH3" s="598"/>
      <c r="BI3" s="599"/>
      <c r="BJ3" s="598"/>
      <c r="BK3" s="599"/>
      <c r="BL3" s="598"/>
      <c r="BM3" s="599"/>
      <c r="BN3" s="598"/>
      <c r="BO3" s="599"/>
      <c r="BP3" s="598"/>
      <c r="BQ3" s="599"/>
      <c r="BR3" s="598"/>
      <c r="BS3" s="599"/>
      <c r="BT3" s="598"/>
      <c r="BU3" s="599"/>
      <c r="BV3" s="598"/>
      <c r="BW3" s="599"/>
      <c r="BX3" s="597"/>
      <c r="BY3" s="597"/>
      <c r="BZ3" s="598"/>
      <c r="CA3" s="599"/>
      <c r="CB3" s="596"/>
      <c r="CC3" s="596"/>
      <c r="CD3" s="596"/>
      <c r="CE3" s="596"/>
      <c r="CF3" s="596"/>
      <c r="CG3" s="599"/>
      <c r="CH3" s="596"/>
      <c r="CI3" s="599"/>
      <c r="CJ3" s="596"/>
      <c r="CK3" s="596"/>
      <c r="CL3" s="596"/>
      <c r="CM3" s="595"/>
      <c r="CN3" s="595"/>
      <c r="CO3" s="598"/>
      <c r="CP3" s="599"/>
      <c r="CQ3" s="598"/>
      <c r="CR3" s="599"/>
      <c r="CS3" s="598"/>
      <c r="CT3" s="599"/>
      <c r="CU3" s="598"/>
      <c r="CV3" s="599"/>
      <c r="CW3" s="598"/>
      <c r="CX3" s="599"/>
      <c r="CY3" s="598"/>
      <c r="CZ3" s="599"/>
      <c r="DA3" s="598"/>
      <c r="DB3" s="599"/>
      <c r="DC3" s="598"/>
      <c r="DD3" s="599"/>
      <c r="DE3" s="598"/>
      <c r="DF3" s="599"/>
      <c r="DG3" s="598"/>
      <c r="DH3" s="599"/>
      <c r="DI3" s="598"/>
      <c r="DJ3" s="599"/>
      <c r="DK3" s="598"/>
      <c r="DL3" s="599"/>
      <c r="DM3" s="598"/>
      <c r="DN3" s="599"/>
      <c r="DO3" s="598"/>
      <c r="DP3" s="599"/>
      <c r="DQ3" s="598"/>
      <c r="DR3" s="599"/>
      <c r="DS3" s="598"/>
      <c r="DT3" s="599"/>
      <c r="DU3" s="598"/>
      <c r="DV3" s="599"/>
      <c r="DW3" s="598"/>
      <c r="DX3" s="599"/>
      <c r="DY3" s="598"/>
      <c r="DZ3" s="599"/>
      <c r="EA3" s="598"/>
      <c r="EB3" s="599"/>
      <c r="EC3" s="597"/>
      <c r="ED3" s="597"/>
      <c r="EE3" s="598"/>
      <c r="EF3" s="599"/>
      <c r="EG3" s="596"/>
      <c r="EH3" s="596"/>
      <c r="EI3" s="596"/>
      <c r="EJ3" s="596"/>
      <c r="EK3" s="596"/>
      <c r="EL3" s="599"/>
      <c r="EM3" s="596"/>
      <c r="EN3" s="599"/>
      <c r="EO3" s="596"/>
      <c r="EP3" s="596"/>
      <c r="EQ3" s="596"/>
      <c r="ER3" s="595"/>
      <c r="ES3" s="595"/>
      <c r="ET3" s="598"/>
      <c r="EU3" s="599"/>
      <c r="EV3" s="598"/>
      <c r="EW3" s="599"/>
      <c r="EX3" s="598"/>
      <c r="EY3" s="599"/>
      <c r="EZ3" s="598"/>
      <c r="FA3" s="599"/>
      <c r="FB3" s="598"/>
      <c r="FC3" s="599"/>
      <c r="FD3" s="598"/>
      <c r="FE3" s="599"/>
      <c r="FF3" s="598"/>
      <c r="FG3" s="599"/>
      <c r="FH3" s="598"/>
      <c r="FI3" s="599"/>
      <c r="FJ3" s="598"/>
      <c r="FK3" s="599"/>
      <c r="FL3" s="598"/>
      <c r="FM3" s="599"/>
      <c r="FN3" s="598"/>
      <c r="FO3" s="599"/>
      <c r="FP3" s="598"/>
      <c r="FQ3" s="599"/>
      <c r="FR3" s="598"/>
      <c r="FS3" s="599"/>
      <c r="FT3" s="598"/>
      <c r="FU3" s="599"/>
      <c r="FV3" s="598"/>
      <c r="FW3" s="599"/>
      <c r="FX3" s="598"/>
      <c r="FY3" s="599"/>
      <c r="FZ3" s="598"/>
      <c r="GA3" s="599"/>
      <c r="GB3" s="598"/>
      <c r="GC3" s="599"/>
      <c r="GD3" s="598"/>
      <c r="GE3" s="599"/>
      <c r="GF3" s="598"/>
      <c r="GG3" s="599"/>
      <c r="GH3" s="597"/>
      <c r="GI3" s="597"/>
      <c r="GJ3" s="598"/>
      <c r="GK3" s="599"/>
      <c r="GL3" s="596"/>
      <c r="GM3" s="596"/>
      <c r="GN3" s="596"/>
      <c r="GO3" s="596"/>
      <c r="GP3" s="596"/>
      <c r="GQ3" s="599"/>
      <c r="GR3" s="596"/>
      <c r="GS3" s="599"/>
      <c r="GT3" s="596"/>
      <c r="GU3" s="596"/>
      <c r="GV3" s="596"/>
      <c r="GW3" s="595"/>
      <c r="GX3" s="595"/>
      <c r="GY3" s="598"/>
      <c r="GZ3" s="599"/>
      <c r="HA3" s="598"/>
      <c r="HB3" s="599"/>
      <c r="HC3" s="598"/>
      <c r="HD3" s="599"/>
      <c r="HE3" s="598"/>
      <c r="HF3" s="599"/>
      <c r="HG3" s="598"/>
      <c r="HH3" s="599"/>
    </row>
    <row r="4" spans="1:216" s="600" customFormat="1" ht="15" customHeight="1" x14ac:dyDescent="0.2">
      <c r="A4" s="601"/>
      <c r="B4" s="603"/>
      <c r="C4" s="604"/>
      <c r="D4" s="604"/>
      <c r="E4" s="604"/>
      <c r="F4" s="604"/>
      <c r="G4" s="602"/>
      <c r="H4" s="604"/>
      <c r="I4" s="604"/>
      <c r="J4" s="604"/>
      <c r="K4" s="604"/>
      <c r="L4" s="604"/>
      <c r="M4" s="604"/>
      <c r="N4" s="604"/>
      <c r="O4" s="604"/>
      <c r="P4" s="604"/>
      <c r="Q4" s="604"/>
      <c r="R4" s="604"/>
      <c r="S4" s="604"/>
      <c r="T4" s="604"/>
      <c r="U4" s="604"/>
      <c r="V4" s="604"/>
      <c r="W4" s="604"/>
      <c r="X4" s="604"/>
      <c r="Y4" s="604"/>
      <c r="Z4" s="604"/>
      <c r="AA4" s="604"/>
      <c r="AB4" s="604"/>
      <c r="AC4" s="604"/>
      <c r="AD4" s="604"/>
      <c r="AE4" s="604"/>
      <c r="AF4" s="605"/>
      <c r="AG4" s="605"/>
      <c r="AH4" s="605"/>
      <c r="AI4" s="150"/>
      <c r="AJ4" s="150"/>
      <c r="AK4" s="150"/>
      <c r="AL4" s="150"/>
      <c r="AM4" s="150"/>
      <c r="AN4" s="150"/>
      <c r="AO4" s="150"/>
      <c r="AP4" s="150"/>
    </row>
    <row r="5" spans="1:216" s="641" customFormat="1" ht="32.25" customHeight="1" thickBot="1" x14ac:dyDescent="0.35">
      <c r="A5" s="709" t="s">
        <v>652</v>
      </c>
      <c r="B5" s="639"/>
      <c r="C5" s="639"/>
      <c r="D5" s="639"/>
      <c r="E5" s="639"/>
      <c r="F5" s="639"/>
      <c r="G5" s="639"/>
      <c r="H5" s="639"/>
      <c r="I5" s="639"/>
      <c r="J5" s="639"/>
      <c r="K5" s="639"/>
      <c r="L5" s="639"/>
      <c r="M5" s="639"/>
      <c r="N5" s="639"/>
      <c r="O5" s="639"/>
      <c r="P5" s="639"/>
      <c r="Q5" s="639"/>
      <c r="R5" s="639"/>
      <c r="S5" s="639"/>
      <c r="T5" s="639"/>
      <c r="U5" s="638"/>
      <c r="V5" s="638"/>
      <c r="W5" s="638"/>
      <c r="X5" s="638"/>
      <c r="Y5" s="638"/>
      <c r="Z5" s="640"/>
      <c r="AA5" s="640"/>
      <c r="AB5" s="640"/>
      <c r="AC5" s="640"/>
      <c r="AD5" s="640"/>
      <c r="AF5" s="114"/>
      <c r="AJ5" s="114"/>
      <c r="AL5" s="134"/>
      <c r="AO5" s="642"/>
      <c r="AP5" s="643"/>
      <c r="AQ5" s="643"/>
      <c r="AR5" s="643"/>
      <c r="AS5" s="644"/>
      <c r="AT5" s="643"/>
      <c r="AU5" s="643"/>
      <c r="AV5" s="643"/>
      <c r="AW5" s="643"/>
    </row>
    <row r="6" spans="1:216" ht="15" customHeight="1" thickTop="1" x14ac:dyDescent="0.2">
      <c r="A6" s="645"/>
      <c r="F6" s="400" t="s">
        <v>662</v>
      </c>
    </row>
    <row r="7" spans="1:216" s="628" customFormat="1" ht="15" customHeight="1" x14ac:dyDescent="0.2">
      <c r="A7" s="627"/>
      <c r="B7" s="612" t="s">
        <v>451</v>
      </c>
      <c r="C7" s="612" t="s">
        <v>452</v>
      </c>
      <c r="D7" s="612" t="s">
        <v>453</v>
      </c>
      <c r="E7" s="612" t="s">
        <v>454</v>
      </c>
      <c r="F7" s="612" t="s">
        <v>449</v>
      </c>
    </row>
    <row r="8" spans="1:216" s="624" customFormat="1" ht="9.9499999999999993" customHeight="1" x14ac:dyDescent="0.2">
      <c r="A8" s="629"/>
      <c r="B8" s="613"/>
      <c r="C8" s="613"/>
      <c r="D8" s="613"/>
      <c r="E8" s="613"/>
      <c r="F8" s="613"/>
      <c r="G8" s="647"/>
      <c r="H8" s="647"/>
      <c r="I8" s="647"/>
      <c r="J8" s="647"/>
      <c r="K8" s="647"/>
      <c r="L8" s="647"/>
      <c r="M8" s="647"/>
      <c r="N8" s="647"/>
      <c r="O8" s="647"/>
      <c r="P8" s="647"/>
      <c r="Q8" s="647"/>
      <c r="R8" s="647"/>
      <c r="S8" s="647"/>
      <c r="T8" s="647"/>
      <c r="U8" s="647"/>
      <c r="V8" s="647"/>
      <c r="W8" s="647"/>
      <c r="X8" s="647"/>
      <c r="Y8" s="647"/>
      <c r="Z8" s="647"/>
      <c r="AA8" s="647"/>
      <c r="AB8" s="647"/>
      <c r="AC8" s="647"/>
      <c r="AD8" s="647"/>
      <c r="AE8" s="647"/>
      <c r="AF8" s="647"/>
      <c r="AG8" s="647"/>
      <c r="AH8" s="647"/>
      <c r="AI8" s="647"/>
      <c r="AJ8" s="647"/>
      <c r="AK8" s="647"/>
      <c r="AL8" s="647"/>
    </row>
    <row r="9" spans="1:216" s="624" customFormat="1" ht="5.0999999999999996" customHeight="1" x14ac:dyDescent="0.2">
      <c r="A9" s="576"/>
      <c r="B9" s="576"/>
      <c r="C9" s="576"/>
      <c r="D9" s="576"/>
      <c r="E9" s="576"/>
      <c r="F9" s="576"/>
    </row>
    <row r="10" spans="1:216" s="649" customFormat="1" ht="15" customHeight="1" x14ac:dyDescent="0.2">
      <c r="A10" s="620" t="s">
        <v>596</v>
      </c>
      <c r="B10" s="373">
        <v>-5851.05</v>
      </c>
      <c r="C10" s="373">
        <v>-6535</v>
      </c>
      <c r="D10" s="373">
        <v>-4957</v>
      </c>
      <c r="E10" s="374">
        <v>-5414</v>
      </c>
      <c r="F10" s="374">
        <f>SUM(B10:E10)</f>
        <v>-22757.05</v>
      </c>
    </row>
    <row r="11" spans="1:216" s="649" customFormat="1" ht="15" customHeight="1" x14ac:dyDescent="0.2">
      <c r="A11" s="620" t="s">
        <v>597</v>
      </c>
      <c r="B11" s="373">
        <v>1541</v>
      </c>
      <c r="C11" s="373">
        <v>2081</v>
      </c>
      <c r="D11" s="373">
        <v>1838</v>
      </c>
      <c r="E11" s="374">
        <v>1593</v>
      </c>
      <c r="F11" s="374">
        <f>SUM(B11:E11)</f>
        <v>7053</v>
      </c>
    </row>
    <row r="12" spans="1:216" s="649" customFormat="1" ht="5.0999999999999996" customHeight="1" x14ac:dyDescent="0.2">
      <c r="A12" s="648"/>
      <c r="B12" s="373"/>
      <c r="C12" s="373"/>
      <c r="D12" s="373"/>
      <c r="E12" s="373"/>
      <c r="F12" s="373"/>
    </row>
    <row r="13" spans="1:216" s="624" customFormat="1" ht="15" customHeight="1" thickBot="1" x14ac:dyDescent="0.25">
      <c r="A13" s="621" t="s">
        <v>7</v>
      </c>
      <c r="B13" s="375">
        <f>SUM(B10:B11)</f>
        <v>-4310.05</v>
      </c>
      <c r="C13" s="375">
        <f>SUM(C10:C11)</f>
        <v>-4454</v>
      </c>
      <c r="D13" s="375">
        <f>SUM(D10:D11)</f>
        <v>-3119</v>
      </c>
      <c r="E13" s="375">
        <f>SUM(E10:E11)</f>
        <v>-3821</v>
      </c>
      <c r="F13" s="375">
        <f>SUM(F10:F11)</f>
        <v>-15704.05</v>
      </c>
      <c r="G13" s="650"/>
      <c r="H13" s="650"/>
      <c r="I13" s="650"/>
      <c r="J13" s="650"/>
      <c r="K13" s="650"/>
      <c r="L13" s="650"/>
      <c r="M13" s="650"/>
      <c r="N13" s="650"/>
      <c r="O13" s="650"/>
      <c r="P13" s="650"/>
      <c r="Q13" s="650"/>
      <c r="R13" s="650"/>
      <c r="S13" s="650"/>
      <c r="T13" s="650"/>
      <c r="U13" s="650"/>
      <c r="V13" s="650"/>
      <c r="W13" s="650"/>
      <c r="X13" s="650"/>
      <c r="Y13" s="650"/>
      <c r="Z13" s="650"/>
      <c r="AA13" s="650"/>
      <c r="AB13" s="650"/>
      <c r="AC13" s="650"/>
      <c r="AD13" s="650"/>
      <c r="AE13" s="650"/>
      <c r="AF13" s="650"/>
      <c r="AG13" s="650"/>
      <c r="AH13" s="650"/>
      <c r="AI13" s="650"/>
      <c r="AJ13" s="650"/>
      <c r="AK13" s="650"/>
      <c r="AL13" s="650"/>
      <c r="AM13" s="650"/>
      <c r="AN13" s="650"/>
      <c r="AO13" s="650"/>
      <c r="AP13" s="650"/>
      <c r="AQ13" s="650"/>
      <c r="AR13" s="650"/>
      <c r="AS13" s="650"/>
      <c r="AT13" s="650"/>
      <c r="AU13" s="650"/>
      <c r="AV13" s="650"/>
      <c r="AW13" s="650"/>
      <c r="AX13" s="650"/>
      <c r="AY13" s="650"/>
      <c r="AZ13" s="650"/>
      <c r="BA13" s="650"/>
      <c r="BB13" s="650"/>
      <c r="BC13" s="650"/>
      <c r="BD13" s="650"/>
      <c r="BE13" s="650"/>
      <c r="BF13" s="650"/>
      <c r="BG13" s="650"/>
      <c r="BH13" s="650"/>
      <c r="BI13" s="650"/>
      <c r="BJ13" s="650"/>
      <c r="BK13" s="650"/>
      <c r="BL13" s="650"/>
      <c r="BM13" s="650"/>
      <c r="BN13" s="650"/>
      <c r="BO13" s="650"/>
      <c r="BP13" s="650"/>
      <c r="BQ13" s="650"/>
      <c r="BR13" s="650"/>
      <c r="BS13" s="650"/>
      <c r="BT13" s="650"/>
      <c r="BU13" s="650"/>
      <c r="BV13" s="650"/>
      <c r="BW13" s="650"/>
      <c r="BX13" s="650"/>
      <c r="BY13" s="650"/>
      <c r="BZ13" s="650"/>
    </row>
    <row r="14" spans="1:216" s="652" customFormat="1" ht="5.0999999999999996" customHeight="1" thickTop="1" x14ac:dyDescent="0.2">
      <c r="A14" s="651"/>
      <c r="B14" s="576"/>
      <c r="C14" s="576"/>
      <c r="D14" s="576"/>
      <c r="E14" s="576"/>
      <c r="F14" s="576"/>
    </row>
    <row r="15" spans="1:216" s="649" customFormat="1" ht="15" customHeight="1" x14ac:dyDescent="0.2">
      <c r="A15" s="620" t="s">
        <v>669</v>
      </c>
      <c r="B15" s="373">
        <v>-551</v>
      </c>
      <c r="C15" s="373">
        <v>-516</v>
      </c>
      <c r="D15" s="373">
        <v>-703</v>
      </c>
      <c r="E15" s="374">
        <v>-801</v>
      </c>
      <c r="F15" s="374">
        <v>-2571</v>
      </c>
    </row>
    <row r="16" spans="1:216" s="649" customFormat="1" ht="5.0999999999999996" customHeight="1" x14ac:dyDescent="0.2">
      <c r="A16" s="648"/>
      <c r="B16" s="373"/>
      <c r="C16" s="373"/>
      <c r="D16" s="373"/>
      <c r="E16" s="373"/>
      <c r="F16" s="373"/>
    </row>
    <row r="17" spans="1:78" s="624" customFormat="1" ht="15" customHeight="1" thickBot="1" x14ac:dyDescent="0.25">
      <c r="A17" s="621" t="s">
        <v>13</v>
      </c>
      <c r="B17" s="375">
        <f>SUM(B13:B16)</f>
        <v>-4861.05</v>
      </c>
      <c r="C17" s="375">
        <f>SUM(C13:C16)</f>
        <v>-4970</v>
      </c>
      <c r="D17" s="375">
        <f>SUM(D13:D16)</f>
        <v>-3822</v>
      </c>
      <c r="E17" s="375">
        <f>SUM(E13:E16)</f>
        <v>-4622</v>
      </c>
      <c r="F17" s="375">
        <f>SUM(F13:F16)</f>
        <v>-18275.05</v>
      </c>
      <c r="G17" s="650"/>
      <c r="H17" s="650"/>
      <c r="I17" s="650"/>
      <c r="J17" s="650"/>
      <c r="K17" s="650"/>
      <c r="L17" s="650"/>
      <c r="M17" s="650"/>
      <c r="N17" s="650"/>
      <c r="O17" s="650"/>
      <c r="P17" s="650"/>
      <c r="Q17" s="650"/>
      <c r="R17" s="650"/>
      <c r="S17" s="650"/>
      <c r="T17" s="650"/>
      <c r="U17" s="650"/>
      <c r="V17" s="650"/>
      <c r="W17" s="650"/>
      <c r="X17" s="650"/>
      <c r="Y17" s="650"/>
      <c r="Z17" s="650"/>
      <c r="AA17" s="650"/>
      <c r="AB17" s="650"/>
      <c r="AC17" s="650"/>
      <c r="AD17" s="650"/>
      <c r="AE17" s="650"/>
      <c r="AF17" s="650"/>
      <c r="AG17" s="650"/>
      <c r="AH17" s="650"/>
      <c r="AI17" s="650"/>
      <c r="AJ17" s="650"/>
      <c r="AK17" s="650"/>
      <c r="AL17" s="650"/>
      <c r="AM17" s="650"/>
      <c r="AN17" s="650"/>
      <c r="AO17" s="650"/>
      <c r="AP17" s="650"/>
      <c r="AQ17" s="650"/>
      <c r="AR17" s="650"/>
      <c r="AS17" s="650"/>
      <c r="AT17" s="650"/>
      <c r="AU17" s="650"/>
      <c r="AV17" s="650"/>
      <c r="AW17" s="650"/>
      <c r="AX17" s="650"/>
      <c r="AY17" s="650"/>
      <c r="AZ17" s="650"/>
      <c r="BA17" s="650"/>
      <c r="BB17" s="650"/>
      <c r="BC17" s="650"/>
      <c r="BD17" s="650"/>
      <c r="BE17" s="650"/>
      <c r="BF17" s="650"/>
      <c r="BG17" s="650"/>
      <c r="BH17" s="650"/>
      <c r="BI17" s="650"/>
      <c r="BJ17" s="650"/>
      <c r="BK17" s="650"/>
      <c r="BL17" s="650"/>
      <c r="BM17" s="650"/>
      <c r="BN17" s="650"/>
      <c r="BO17" s="650"/>
      <c r="BP17" s="650"/>
      <c r="BQ17" s="650"/>
      <c r="BR17" s="650"/>
      <c r="BS17" s="650"/>
      <c r="BT17" s="650"/>
      <c r="BU17" s="650"/>
      <c r="BV17" s="650"/>
      <c r="BW17" s="650"/>
      <c r="BX17" s="650"/>
      <c r="BY17" s="650"/>
      <c r="BZ17" s="650"/>
    </row>
    <row r="18" spans="1:78" s="654" customFormat="1" ht="12" thickTop="1" x14ac:dyDescent="0.2">
      <c r="A18" s="653"/>
    </row>
    <row r="19" spans="1:78" s="654" customFormat="1" ht="24" x14ac:dyDescent="0.2">
      <c r="A19" s="710" t="s">
        <v>670</v>
      </c>
    </row>
    <row r="20" spans="1:78" s="654" customFormat="1" ht="11.25" x14ac:dyDescent="0.2">
      <c r="A20" s="653"/>
    </row>
    <row r="21" spans="1:78" s="654" customFormat="1" ht="11.25" x14ac:dyDescent="0.2">
      <c r="A21" s="653"/>
    </row>
    <row r="22" spans="1:78" s="654" customFormat="1" ht="11.25" x14ac:dyDescent="0.2">
      <c r="A22" s="653"/>
    </row>
    <row r="23" spans="1:78" s="654" customFormat="1" ht="11.25" x14ac:dyDescent="0.2">
      <c r="A23" s="653"/>
    </row>
    <row r="24" spans="1:78" s="654" customFormat="1" ht="11.25" x14ac:dyDescent="0.2">
      <c r="A24" s="653"/>
    </row>
    <row r="25" spans="1:78" s="654" customFormat="1" ht="11.25" x14ac:dyDescent="0.2">
      <c r="A25" s="653"/>
    </row>
    <row r="26" spans="1:78" s="654" customFormat="1" ht="11.25" x14ac:dyDescent="0.2">
      <c r="A26" s="653"/>
    </row>
    <row r="27" spans="1:78" s="654" customFormat="1" ht="11.25" x14ac:dyDescent="0.2">
      <c r="A27" s="653"/>
    </row>
    <row r="28" spans="1:78" s="654" customFormat="1" ht="11.25" x14ac:dyDescent="0.2">
      <c r="A28" s="653"/>
    </row>
    <row r="29" spans="1:78" s="654" customFormat="1" ht="11.25" x14ac:dyDescent="0.2">
      <c r="A29" s="653"/>
    </row>
    <row r="30" spans="1:78" s="654" customFormat="1" ht="11.25" x14ac:dyDescent="0.2">
      <c r="A30" s="653"/>
    </row>
    <row r="31" spans="1:78" s="654" customFormat="1" ht="11.25" x14ac:dyDescent="0.2">
      <c r="A31" s="653"/>
    </row>
    <row r="32" spans="1:78" s="654" customFormat="1" ht="11.25" x14ac:dyDescent="0.2">
      <c r="A32" s="653"/>
    </row>
    <row r="33" spans="1:1" s="654" customFormat="1" ht="11.25" x14ac:dyDescent="0.2">
      <c r="A33" s="653"/>
    </row>
    <row r="34" spans="1:1" s="654" customFormat="1" ht="11.25" x14ac:dyDescent="0.2">
      <c r="A34" s="653"/>
    </row>
    <row r="35" spans="1:1" s="654" customFormat="1" ht="11.25" x14ac:dyDescent="0.2">
      <c r="A35" s="653"/>
    </row>
    <row r="36" spans="1:1" s="654" customFormat="1" ht="11.25" x14ac:dyDescent="0.2">
      <c r="A36" s="653"/>
    </row>
    <row r="37" spans="1:1" s="654" customFormat="1" ht="11.25" x14ac:dyDescent="0.2">
      <c r="A37" s="653"/>
    </row>
    <row r="38" spans="1:1" s="654" customFormat="1" ht="11.25" x14ac:dyDescent="0.2">
      <c r="A38" s="653"/>
    </row>
    <row r="39" spans="1:1" s="654" customFormat="1" ht="11.25" x14ac:dyDescent="0.2">
      <c r="A39" s="653"/>
    </row>
    <row r="40" spans="1:1" s="654" customFormat="1" ht="11.25" x14ac:dyDescent="0.2">
      <c r="A40" s="653"/>
    </row>
    <row r="41" spans="1:1" s="654" customFormat="1" ht="11.25" x14ac:dyDescent="0.2">
      <c r="A41" s="653"/>
    </row>
    <row r="42" spans="1:1" s="654" customFormat="1" ht="11.25" x14ac:dyDescent="0.2">
      <c r="A42" s="653"/>
    </row>
    <row r="43" spans="1:1" s="654" customFormat="1" ht="11.25" x14ac:dyDescent="0.2">
      <c r="A43" s="653"/>
    </row>
    <row r="44" spans="1:1" s="654" customFormat="1" ht="11.25" x14ac:dyDescent="0.2">
      <c r="A44" s="653"/>
    </row>
    <row r="45" spans="1:1" s="654" customFormat="1" ht="11.25" x14ac:dyDescent="0.2">
      <c r="A45" s="653"/>
    </row>
    <row r="46" spans="1:1" s="654" customFormat="1" ht="11.25" x14ac:dyDescent="0.2">
      <c r="A46" s="653"/>
    </row>
    <row r="47" spans="1:1" s="654" customFormat="1" ht="11.25" x14ac:dyDescent="0.2">
      <c r="A47" s="653"/>
    </row>
    <row r="48" spans="1:1" s="654" customFormat="1" ht="11.25" x14ac:dyDescent="0.2">
      <c r="A48" s="653"/>
    </row>
    <row r="49" spans="1:1" s="654" customFormat="1" ht="11.25" x14ac:dyDescent="0.2">
      <c r="A49" s="653"/>
    </row>
    <row r="50" spans="1:1" s="654" customFormat="1" ht="11.25" x14ac:dyDescent="0.2">
      <c r="A50" s="653"/>
    </row>
    <row r="51" spans="1:1" s="654" customFormat="1" ht="11.25" x14ac:dyDescent="0.2">
      <c r="A51" s="653"/>
    </row>
    <row r="52" spans="1:1" s="654" customFormat="1" ht="11.25" x14ac:dyDescent="0.2">
      <c r="A52" s="653"/>
    </row>
    <row r="53" spans="1:1" s="654" customFormat="1" ht="11.25" x14ac:dyDescent="0.2">
      <c r="A53" s="653"/>
    </row>
    <row r="54" spans="1:1" s="654" customFormat="1" ht="11.25" x14ac:dyDescent="0.2">
      <c r="A54" s="653"/>
    </row>
    <row r="55" spans="1:1" s="654" customFormat="1" ht="11.25" x14ac:dyDescent="0.2">
      <c r="A55" s="653"/>
    </row>
    <row r="56" spans="1:1" s="654" customFormat="1" ht="11.25" x14ac:dyDescent="0.2">
      <c r="A56" s="653"/>
    </row>
    <row r="57" spans="1:1" s="654" customFormat="1" ht="11.25" x14ac:dyDescent="0.2">
      <c r="A57" s="653"/>
    </row>
    <row r="58" spans="1:1" s="654" customFormat="1" ht="11.25" x14ac:dyDescent="0.2">
      <c r="A58" s="653"/>
    </row>
    <row r="59" spans="1:1" s="654" customFormat="1" ht="11.25" x14ac:dyDescent="0.2">
      <c r="A59" s="653"/>
    </row>
    <row r="60" spans="1:1" s="654" customFormat="1" ht="11.25" x14ac:dyDescent="0.2">
      <c r="A60" s="653"/>
    </row>
    <row r="61" spans="1:1" s="654" customFormat="1" ht="11.25" x14ac:dyDescent="0.2">
      <c r="A61" s="653"/>
    </row>
    <row r="62" spans="1:1" s="654" customFormat="1" ht="11.25" x14ac:dyDescent="0.2">
      <c r="A62" s="653"/>
    </row>
    <row r="63" spans="1:1" s="654" customFormat="1" ht="11.25" x14ac:dyDescent="0.2">
      <c r="A63" s="653"/>
    </row>
    <row r="64" spans="1:1" s="654" customFormat="1" ht="11.25" x14ac:dyDescent="0.2">
      <c r="A64" s="653"/>
    </row>
    <row r="65" spans="1:1" s="654" customFormat="1" ht="11.25" x14ac:dyDescent="0.2">
      <c r="A65" s="653"/>
    </row>
    <row r="66" spans="1:1" s="654" customFormat="1" ht="11.25" x14ac:dyDescent="0.2">
      <c r="A66" s="653"/>
    </row>
    <row r="67" spans="1:1" s="654" customFormat="1" ht="11.25" x14ac:dyDescent="0.2">
      <c r="A67" s="653"/>
    </row>
  </sheetData>
  <hyperlinks>
    <hyperlink ref="F6" location="Índex!E9" display="Índex"/>
  </hyperlinks>
  <printOptions horizontalCentered="1" gridLinesSet="0"/>
  <pageMargins left="0" right="0" top="0.39370078740157483" bottom="0" header="0" footer="0"/>
  <pageSetup paperSize="9" scale="80" orientation="landscape" r:id="rId1"/>
  <headerFooter alignWithMargins="0">
    <oddHeader>&amp;R&amp;P/&amp;N</oddHeader>
  </headerFooter>
  <colBreaks count="1" manualBreakCount="1">
    <brk id="6" max="21" man="1"/>
  </col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3"/>
  <dimension ref="A1:DQ74"/>
  <sheetViews>
    <sheetView showGridLines="0" zoomScaleNormal="100" workbookViewId="0">
      <pane xSplit="1" ySplit="8" topLeftCell="AH9" activePane="bottomRight" state="frozen"/>
      <selection activeCell="E9" sqref="E9"/>
      <selection pane="topRight" activeCell="E9" sqref="E9"/>
      <selection pane="bottomLeft" activeCell="E9" sqref="E9"/>
      <selection pane="bottomRight" activeCell="E9" sqref="E9"/>
    </sheetView>
  </sheetViews>
  <sheetFormatPr defaultColWidth="12.5703125" defaultRowHeight="12.75" x14ac:dyDescent="0.2"/>
  <cols>
    <col min="1" max="1" width="49.85546875" style="349" customWidth="1"/>
    <col min="2" max="37" width="9.7109375" style="349" customWidth="1"/>
    <col min="38" max="45" width="9.7109375" style="350" customWidth="1"/>
    <col min="46" max="16384" width="12.5703125" style="350"/>
  </cols>
  <sheetData>
    <row r="1" spans="1:121" s="308" customFormat="1" ht="15" customHeight="1" x14ac:dyDescent="0.2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343"/>
      <c r="AU1" s="343"/>
      <c r="AV1" s="343"/>
      <c r="AW1" s="343"/>
      <c r="AX1" s="343"/>
      <c r="AY1" s="343"/>
      <c r="AZ1" s="343"/>
      <c r="BA1" s="343"/>
      <c r="BB1" s="343"/>
      <c r="BC1" s="343"/>
      <c r="BD1" s="343"/>
      <c r="BE1" s="343"/>
      <c r="BF1" s="343"/>
      <c r="BG1" s="343"/>
      <c r="BH1" s="343"/>
      <c r="BI1" s="343"/>
      <c r="BJ1" s="343"/>
      <c r="BK1" s="343"/>
      <c r="BL1" s="307"/>
      <c r="BM1" s="307"/>
      <c r="BN1" s="307"/>
      <c r="BO1" s="307"/>
      <c r="BP1" s="307"/>
      <c r="BQ1" s="307"/>
      <c r="BR1" s="307"/>
      <c r="BS1" s="307"/>
      <c r="BT1" s="307"/>
      <c r="BU1" s="307"/>
    </row>
    <row r="2" spans="1:121" s="308" customFormat="1" ht="15" customHeight="1" x14ac:dyDescent="0.25">
      <c r="A2" s="307"/>
      <c r="B2" s="199"/>
      <c r="C2" s="307"/>
      <c r="D2" s="307"/>
      <c r="E2" s="344"/>
      <c r="F2" s="344"/>
      <c r="G2" s="344"/>
      <c r="H2" s="307"/>
      <c r="I2" s="307"/>
      <c r="J2" s="307"/>
      <c r="K2" s="344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7"/>
      <c r="AH2" s="307"/>
      <c r="AI2" s="307"/>
      <c r="AJ2" s="307"/>
      <c r="AK2" s="307"/>
      <c r="AL2" s="307"/>
      <c r="AM2" s="307"/>
      <c r="AN2" s="307"/>
      <c r="AO2" s="307"/>
      <c r="AP2" s="307"/>
      <c r="AQ2" s="307"/>
      <c r="AR2" s="307"/>
      <c r="AS2" s="307"/>
      <c r="AT2" s="343"/>
      <c r="AU2" s="343"/>
      <c r="AV2" s="343"/>
      <c r="AW2" s="343"/>
      <c r="AX2" s="343"/>
      <c r="AY2" s="343"/>
      <c r="AZ2" s="343"/>
      <c r="BA2" s="343"/>
      <c r="BB2" s="343"/>
      <c r="BC2" s="343"/>
      <c r="BD2" s="343"/>
      <c r="BE2" s="343"/>
      <c r="BF2" s="343"/>
      <c r="BG2" s="343"/>
      <c r="BH2" s="343"/>
      <c r="BI2" s="343"/>
      <c r="BJ2" s="343"/>
      <c r="BK2" s="343"/>
      <c r="BL2" s="307"/>
      <c r="BM2" s="307"/>
      <c r="BN2" s="307"/>
      <c r="BO2" s="307"/>
      <c r="BP2" s="307"/>
      <c r="BQ2" s="307"/>
      <c r="BR2" s="307"/>
      <c r="BS2" s="307"/>
      <c r="BT2" s="307"/>
      <c r="BU2" s="307"/>
    </row>
    <row r="3" spans="1:121" s="308" customFormat="1" ht="15" customHeight="1" x14ac:dyDescent="0.25">
      <c r="A3" s="309"/>
      <c r="B3" s="309"/>
      <c r="C3" s="310"/>
      <c r="D3" s="309"/>
      <c r="E3" s="345"/>
      <c r="F3" s="345"/>
      <c r="G3" s="345"/>
      <c r="H3" s="309"/>
      <c r="I3" s="309"/>
      <c r="J3" s="309"/>
      <c r="K3" s="345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09"/>
      <c r="AC3" s="309"/>
      <c r="AD3" s="309"/>
      <c r="AE3" s="309"/>
      <c r="AF3" s="309"/>
      <c r="AG3" s="309"/>
      <c r="AH3" s="309"/>
      <c r="AI3" s="309"/>
      <c r="AJ3" s="309"/>
      <c r="AK3" s="309"/>
      <c r="AL3" s="309"/>
      <c r="AM3" s="309"/>
      <c r="AN3" s="309"/>
      <c r="AO3" s="309"/>
      <c r="AP3" s="309"/>
      <c r="AQ3" s="309"/>
      <c r="AR3" s="309"/>
      <c r="AS3" s="309"/>
      <c r="AT3" s="343"/>
      <c r="AU3" s="343"/>
      <c r="AV3" s="343"/>
      <c r="AW3" s="343"/>
      <c r="AX3" s="343"/>
      <c r="AY3" s="343"/>
      <c r="AZ3" s="343"/>
      <c r="BA3" s="343"/>
      <c r="BB3" s="343"/>
      <c r="BC3" s="343"/>
      <c r="BD3" s="343"/>
      <c r="BE3" s="343"/>
      <c r="BF3" s="343"/>
      <c r="BG3" s="343"/>
      <c r="BH3" s="343"/>
      <c r="BI3" s="343"/>
      <c r="BJ3" s="343"/>
      <c r="BK3" s="343"/>
      <c r="BL3" s="309"/>
      <c r="BM3" s="309"/>
      <c r="BN3" s="309"/>
      <c r="BO3" s="309"/>
      <c r="BP3" s="309"/>
      <c r="BQ3" s="309"/>
      <c r="BR3" s="309"/>
      <c r="BS3" s="309"/>
      <c r="BT3" s="309"/>
      <c r="BU3" s="309"/>
    </row>
    <row r="4" spans="1:121" s="308" customFormat="1" ht="15" customHeight="1" x14ac:dyDescent="0.2">
      <c r="A4" s="312" t="s">
        <v>1</v>
      </c>
      <c r="B4" s="312"/>
      <c r="C4" s="312"/>
      <c r="D4" s="312"/>
      <c r="E4" s="346"/>
      <c r="F4" s="346"/>
      <c r="G4" s="346"/>
      <c r="H4" s="312"/>
      <c r="I4" s="312"/>
      <c r="J4" s="312"/>
      <c r="K4" s="346"/>
      <c r="L4" s="312"/>
      <c r="M4" s="312"/>
      <c r="N4" s="312"/>
      <c r="O4" s="312"/>
      <c r="P4" s="312"/>
      <c r="Q4" s="312"/>
      <c r="R4" s="312"/>
      <c r="S4" s="312"/>
      <c r="T4" s="312"/>
      <c r="U4" s="312"/>
      <c r="V4" s="312"/>
      <c r="W4" s="312"/>
      <c r="X4" s="312"/>
      <c r="Y4" s="312"/>
      <c r="Z4" s="312"/>
      <c r="AA4" s="312"/>
      <c r="AB4" s="312"/>
      <c r="AC4" s="312"/>
      <c r="AD4" s="312"/>
      <c r="AE4" s="312"/>
      <c r="AF4" s="312"/>
      <c r="AG4" s="312"/>
      <c r="AH4" s="312"/>
      <c r="AI4" s="312"/>
      <c r="AJ4" s="312"/>
      <c r="AK4" s="312"/>
      <c r="AL4" s="312"/>
      <c r="AM4" s="312"/>
      <c r="AN4" s="312"/>
      <c r="AO4" s="312"/>
      <c r="AP4" s="312"/>
      <c r="AQ4" s="312"/>
      <c r="AR4" s="312"/>
      <c r="AS4" s="312"/>
      <c r="AT4" s="343"/>
      <c r="AU4" s="343"/>
      <c r="AV4" s="343"/>
      <c r="AW4" s="343"/>
      <c r="AX4" s="343"/>
      <c r="AY4" s="343"/>
      <c r="AZ4" s="343"/>
      <c r="BA4" s="343"/>
      <c r="BB4" s="343"/>
      <c r="BC4" s="343"/>
      <c r="BD4" s="343"/>
      <c r="BE4" s="343"/>
      <c r="BF4" s="343"/>
      <c r="BG4" s="343"/>
      <c r="BH4" s="343"/>
      <c r="BI4" s="343"/>
      <c r="BJ4" s="343"/>
      <c r="BK4" s="343"/>
      <c r="BL4" s="312"/>
      <c r="BM4" s="312"/>
      <c r="BN4" s="312"/>
      <c r="BO4" s="312"/>
      <c r="BP4" s="312"/>
      <c r="BQ4" s="312"/>
      <c r="BR4" s="312"/>
      <c r="BS4" s="312"/>
      <c r="BT4" s="312"/>
      <c r="BU4" s="312"/>
      <c r="CF4" s="311"/>
      <c r="CG4" s="311"/>
      <c r="CH4" s="311"/>
      <c r="CI4" s="311"/>
      <c r="CJ4" s="311"/>
      <c r="CK4" s="311"/>
      <c r="CL4" s="311"/>
      <c r="CM4" s="311"/>
      <c r="CN4" s="311"/>
    </row>
    <row r="5" spans="1:121" s="308" customFormat="1" ht="19.5" thickBot="1" x14ac:dyDescent="0.35">
      <c r="A5" s="190" t="s">
        <v>476</v>
      </c>
      <c r="B5" s="310"/>
      <c r="C5" s="313"/>
      <c r="D5" s="310"/>
      <c r="E5" s="313"/>
      <c r="F5" s="114"/>
      <c r="G5" s="313"/>
      <c r="H5" s="112"/>
      <c r="I5" s="313"/>
      <c r="J5" s="313"/>
      <c r="K5" s="313"/>
      <c r="L5" s="313"/>
      <c r="M5" s="313"/>
      <c r="N5" s="313"/>
      <c r="O5" s="313"/>
      <c r="P5" s="313"/>
      <c r="Q5" s="313"/>
      <c r="R5" s="310"/>
      <c r="S5" s="310"/>
      <c r="T5" s="310"/>
      <c r="U5" s="310"/>
      <c r="V5" s="310"/>
      <c r="W5" s="310"/>
      <c r="X5" s="310"/>
      <c r="Y5" s="310"/>
      <c r="Z5" s="310"/>
      <c r="AA5" s="310"/>
      <c r="AB5" s="310"/>
      <c r="AC5" s="310"/>
      <c r="AD5" s="310"/>
      <c r="AE5" s="310"/>
      <c r="AF5" s="310"/>
      <c r="AG5" s="310"/>
      <c r="AH5" s="310"/>
      <c r="AI5" s="310"/>
      <c r="AJ5" s="310"/>
      <c r="AK5" s="310"/>
      <c r="AL5" s="310"/>
      <c r="AM5" s="310"/>
      <c r="AN5" s="310"/>
      <c r="AO5" s="310"/>
      <c r="AP5" s="310"/>
      <c r="AQ5" s="310"/>
      <c r="AR5" s="310"/>
      <c r="AS5" s="310"/>
      <c r="AT5" s="343"/>
      <c r="AU5" s="343"/>
      <c r="AV5" s="343"/>
      <c r="AW5" s="343"/>
      <c r="AX5" s="343"/>
      <c r="AY5" s="343"/>
      <c r="AZ5" s="343"/>
      <c r="BA5" s="343"/>
      <c r="BB5" s="343"/>
      <c r="BC5" s="343"/>
      <c r="BD5" s="343"/>
      <c r="BE5" s="343"/>
      <c r="BF5" s="343"/>
      <c r="BG5" s="343"/>
      <c r="BH5" s="343"/>
      <c r="BI5" s="343"/>
      <c r="BJ5" s="343"/>
      <c r="BK5" s="343"/>
      <c r="BL5" s="310"/>
      <c r="BM5" s="310"/>
      <c r="BN5" s="310"/>
      <c r="BO5" s="310"/>
      <c r="BP5" s="310"/>
      <c r="BQ5" s="313"/>
      <c r="BR5" s="313"/>
      <c r="BS5" s="313"/>
      <c r="BT5" s="313"/>
      <c r="BU5" s="313"/>
      <c r="BW5" s="114"/>
      <c r="CA5" s="114"/>
      <c r="CC5" s="134"/>
      <c r="CF5" s="347"/>
      <c r="CG5" s="315"/>
      <c r="CH5" s="315"/>
      <c r="CI5" s="315"/>
      <c r="CJ5" s="348"/>
      <c r="CK5" s="315"/>
      <c r="CL5" s="315"/>
      <c r="CM5" s="315"/>
      <c r="CN5" s="315"/>
    </row>
    <row r="6" spans="1:121" ht="15" customHeight="1" thickTop="1" x14ac:dyDescent="0.2">
      <c r="A6" s="351"/>
      <c r="B6" s="352"/>
      <c r="C6" s="352"/>
      <c r="D6" s="352"/>
      <c r="E6" s="352"/>
      <c r="F6" s="352"/>
      <c r="G6" s="352"/>
      <c r="H6" s="352"/>
      <c r="I6" s="352"/>
      <c r="J6" s="352"/>
      <c r="K6" s="352"/>
      <c r="L6" s="352"/>
      <c r="M6" s="352"/>
      <c r="N6" s="352"/>
      <c r="O6" s="352"/>
      <c r="P6" s="352"/>
      <c r="Q6" s="352"/>
      <c r="R6" s="352"/>
      <c r="S6" s="352"/>
      <c r="T6" s="352"/>
      <c r="U6" s="352"/>
      <c r="V6" s="352"/>
      <c r="W6" s="352"/>
      <c r="X6" s="352"/>
      <c r="Y6" s="352"/>
      <c r="Z6" s="352"/>
      <c r="AA6" s="352"/>
      <c r="AB6" s="352"/>
      <c r="AC6" s="352"/>
      <c r="AD6" s="352"/>
      <c r="AE6" s="352"/>
      <c r="AF6" s="352"/>
      <c r="AG6" s="352"/>
      <c r="AH6" s="352"/>
      <c r="AI6" s="352"/>
      <c r="AJ6" s="352"/>
      <c r="AL6" s="352"/>
      <c r="AN6" s="352"/>
      <c r="AO6" s="379"/>
      <c r="AP6" s="400"/>
      <c r="AQ6" s="400"/>
      <c r="AR6" s="400"/>
      <c r="AS6" s="400" t="s">
        <v>662</v>
      </c>
    </row>
    <row r="7" spans="1:121" s="319" customFormat="1" ht="15" customHeight="1" x14ac:dyDescent="0.2">
      <c r="A7" s="318"/>
      <c r="B7" s="353" t="s">
        <v>35</v>
      </c>
      <c r="C7" s="353" t="s">
        <v>36</v>
      </c>
      <c r="D7" s="353" t="s">
        <v>321</v>
      </c>
      <c r="E7" s="353" t="s">
        <v>331</v>
      </c>
      <c r="F7" s="353" t="s">
        <v>37</v>
      </c>
      <c r="G7" s="353" t="s">
        <v>38</v>
      </c>
      <c r="H7" s="353" t="s">
        <v>322</v>
      </c>
      <c r="I7" s="353" t="s">
        <v>332</v>
      </c>
      <c r="J7" s="353" t="s">
        <v>39</v>
      </c>
      <c r="K7" s="353" t="s">
        <v>40</v>
      </c>
      <c r="L7" s="353" t="s">
        <v>323</v>
      </c>
      <c r="M7" s="353" t="s">
        <v>333</v>
      </c>
      <c r="N7" s="353" t="s">
        <v>41</v>
      </c>
      <c r="O7" s="353" t="s">
        <v>42</v>
      </c>
      <c r="P7" s="353" t="s">
        <v>324</v>
      </c>
      <c r="Q7" s="353" t="s">
        <v>334</v>
      </c>
      <c r="R7" s="353" t="s">
        <v>43</v>
      </c>
      <c r="S7" s="353" t="s">
        <v>44</v>
      </c>
      <c r="T7" s="353" t="s">
        <v>325</v>
      </c>
      <c r="U7" s="353" t="s">
        <v>335</v>
      </c>
      <c r="V7" s="353" t="s">
        <v>45</v>
      </c>
      <c r="W7" s="353" t="s">
        <v>46</v>
      </c>
      <c r="X7" s="353" t="s">
        <v>326</v>
      </c>
      <c r="Y7" s="353" t="s">
        <v>336</v>
      </c>
      <c r="Z7" s="353" t="s">
        <v>47</v>
      </c>
      <c r="AA7" s="353" t="s">
        <v>48</v>
      </c>
      <c r="AB7" s="353" t="s">
        <v>327</v>
      </c>
      <c r="AC7" s="353" t="s">
        <v>337</v>
      </c>
      <c r="AD7" s="353" t="s">
        <v>49</v>
      </c>
      <c r="AE7" s="353" t="s">
        <v>50</v>
      </c>
      <c r="AF7" s="353" t="s">
        <v>328</v>
      </c>
      <c r="AG7" s="353" t="s">
        <v>338</v>
      </c>
      <c r="AH7" s="353" t="s">
        <v>51</v>
      </c>
      <c r="AI7" s="353" t="s">
        <v>52</v>
      </c>
      <c r="AJ7" s="353" t="s">
        <v>329</v>
      </c>
      <c r="AK7" s="353" t="s">
        <v>339</v>
      </c>
      <c r="AL7" s="353" t="s">
        <v>53</v>
      </c>
      <c r="AM7" s="353" t="s">
        <v>54</v>
      </c>
      <c r="AN7" s="353" t="s">
        <v>330</v>
      </c>
      <c r="AO7" s="353" t="s">
        <v>340</v>
      </c>
      <c r="AP7" s="415" t="s">
        <v>71</v>
      </c>
      <c r="AQ7" s="590" t="s">
        <v>374</v>
      </c>
      <c r="AR7" s="662" t="s">
        <v>376</v>
      </c>
      <c r="AS7" s="662" t="s">
        <v>399</v>
      </c>
    </row>
    <row r="8" spans="1:121" s="337" customFormat="1" ht="9.9499999999999993" customHeight="1" x14ac:dyDescent="0.2">
      <c r="A8" s="320"/>
      <c r="B8" s="321"/>
      <c r="C8" s="321"/>
      <c r="D8" s="321"/>
      <c r="E8" s="321"/>
      <c r="F8" s="321"/>
      <c r="G8" s="321"/>
      <c r="H8" s="321"/>
      <c r="I8" s="321"/>
      <c r="J8" s="321"/>
      <c r="K8" s="321"/>
      <c r="L8" s="321"/>
      <c r="M8" s="321"/>
      <c r="N8" s="321"/>
      <c r="O8" s="321"/>
      <c r="P8" s="321"/>
      <c r="Q8" s="321"/>
      <c r="R8" s="321"/>
      <c r="S8" s="321"/>
      <c r="T8" s="321"/>
      <c r="U8" s="321"/>
      <c r="V8" s="321"/>
      <c r="W8" s="321"/>
      <c r="X8" s="321"/>
      <c r="Y8" s="321"/>
      <c r="Z8" s="321"/>
      <c r="AA8" s="321"/>
      <c r="AB8" s="321"/>
      <c r="AC8" s="321"/>
      <c r="AD8" s="321"/>
      <c r="AE8" s="321"/>
      <c r="AF8" s="321"/>
      <c r="AG8" s="321"/>
      <c r="AH8" s="321"/>
      <c r="AI8" s="321"/>
      <c r="AJ8" s="321"/>
      <c r="AK8" s="321"/>
      <c r="AL8" s="321"/>
      <c r="AM8" s="321"/>
      <c r="AN8" s="321"/>
      <c r="AO8" s="321"/>
      <c r="AP8" s="321"/>
      <c r="AQ8" s="321"/>
      <c r="AR8" s="321"/>
      <c r="AS8" s="321"/>
      <c r="AT8" s="354"/>
      <c r="AU8" s="354"/>
      <c r="AV8" s="354"/>
      <c r="AW8" s="354"/>
      <c r="AX8" s="354"/>
      <c r="AY8" s="354"/>
      <c r="AZ8" s="354"/>
      <c r="BA8" s="354"/>
      <c r="BB8" s="354"/>
      <c r="BC8" s="354"/>
      <c r="BD8" s="354"/>
      <c r="BE8" s="354"/>
      <c r="BF8" s="354"/>
      <c r="BG8" s="354"/>
      <c r="BH8" s="354"/>
      <c r="BI8" s="354"/>
      <c r="BJ8" s="354"/>
      <c r="BK8" s="354"/>
      <c r="BL8" s="354"/>
      <c r="BM8" s="354"/>
      <c r="BN8" s="354"/>
      <c r="BO8" s="354"/>
      <c r="BP8" s="354"/>
      <c r="BQ8" s="354"/>
      <c r="BR8" s="354"/>
      <c r="BS8" s="354"/>
      <c r="BT8" s="354"/>
      <c r="BU8" s="354"/>
      <c r="BV8" s="354"/>
      <c r="BW8" s="354"/>
      <c r="BX8" s="354"/>
      <c r="BY8" s="354"/>
      <c r="BZ8" s="354"/>
      <c r="CA8" s="354"/>
      <c r="CB8" s="354"/>
      <c r="CC8" s="354"/>
    </row>
    <row r="9" spans="1:121" s="337" customFormat="1" ht="5.0999999999999996" customHeight="1" x14ac:dyDescent="0.2">
      <c r="A9" s="355"/>
      <c r="B9" s="355"/>
      <c r="C9" s="355"/>
      <c r="D9" s="355"/>
      <c r="E9" s="355"/>
      <c r="F9" s="355"/>
      <c r="G9" s="355"/>
      <c r="H9" s="355"/>
      <c r="I9" s="355"/>
      <c r="J9" s="355"/>
      <c r="K9" s="355"/>
      <c r="L9" s="355"/>
      <c r="M9" s="355"/>
      <c r="N9" s="355"/>
      <c r="O9" s="355"/>
      <c r="P9" s="355"/>
      <c r="Q9" s="355"/>
      <c r="R9" s="355"/>
      <c r="S9" s="355"/>
      <c r="T9" s="355"/>
      <c r="U9" s="355"/>
      <c r="V9" s="355"/>
      <c r="W9" s="355"/>
      <c r="X9" s="355"/>
      <c r="Y9" s="355"/>
      <c r="Z9" s="355"/>
      <c r="AA9" s="355"/>
      <c r="AB9" s="355"/>
      <c r="AC9" s="355"/>
      <c r="AD9" s="355"/>
      <c r="AE9" s="355"/>
      <c r="AF9" s="355"/>
      <c r="AG9" s="355"/>
      <c r="AH9" s="355"/>
      <c r="AI9" s="355"/>
      <c r="AJ9" s="355"/>
      <c r="AK9" s="355"/>
      <c r="AL9" s="355"/>
      <c r="AM9" s="355"/>
      <c r="AN9" s="355"/>
      <c r="AO9" s="355"/>
      <c r="AP9" s="355"/>
      <c r="AQ9" s="355"/>
      <c r="AR9" s="355"/>
      <c r="AS9" s="355"/>
    </row>
    <row r="10" spans="1:121" s="358" customFormat="1" ht="15" customHeight="1" x14ac:dyDescent="0.2">
      <c r="A10" s="356" t="s">
        <v>111</v>
      </c>
      <c r="B10" s="357">
        <v>6646</v>
      </c>
      <c r="C10" s="357">
        <f t="shared" ref="C10:AS10" si="0">B16</f>
        <v>6775</v>
      </c>
      <c r="D10" s="357">
        <f t="shared" si="0"/>
        <v>7033</v>
      </c>
      <c r="E10" s="357">
        <f t="shared" si="0"/>
        <v>7428</v>
      </c>
      <c r="F10" s="357">
        <f t="shared" si="0"/>
        <v>7826</v>
      </c>
      <c r="G10" s="357">
        <f t="shared" si="0"/>
        <v>8104</v>
      </c>
      <c r="H10" s="357">
        <f t="shared" si="0"/>
        <v>8652</v>
      </c>
      <c r="I10" s="357">
        <f t="shared" si="0"/>
        <v>9136</v>
      </c>
      <c r="J10" s="357">
        <f t="shared" si="0"/>
        <v>10263</v>
      </c>
      <c r="K10" s="357">
        <f t="shared" si="0"/>
        <v>11424</v>
      </c>
      <c r="L10" s="357">
        <f t="shared" si="0"/>
        <v>13871</v>
      </c>
      <c r="M10" s="357">
        <f t="shared" si="0"/>
        <v>14953</v>
      </c>
      <c r="N10" s="357">
        <f t="shared" si="0"/>
        <v>16313</v>
      </c>
      <c r="O10" s="357">
        <f t="shared" si="0"/>
        <v>15836</v>
      </c>
      <c r="P10" s="357">
        <f t="shared" si="0"/>
        <v>15782</v>
      </c>
      <c r="Q10" s="357">
        <f t="shared" si="0"/>
        <v>16019</v>
      </c>
      <c r="R10" s="357">
        <f t="shared" si="0"/>
        <v>16290</v>
      </c>
      <c r="S10" s="357">
        <f t="shared" si="0"/>
        <v>16740</v>
      </c>
      <c r="T10" s="357">
        <f t="shared" si="0"/>
        <v>17365</v>
      </c>
      <c r="U10" s="357">
        <f t="shared" si="0"/>
        <v>19091</v>
      </c>
      <c r="V10" s="357">
        <f t="shared" si="0"/>
        <v>19541</v>
      </c>
      <c r="W10" s="357">
        <f t="shared" si="0"/>
        <v>20117</v>
      </c>
      <c r="X10" s="357">
        <f t="shared" si="0"/>
        <v>20682</v>
      </c>
      <c r="Y10" s="357">
        <f t="shared" si="0"/>
        <v>20915</v>
      </c>
      <c r="Z10" s="357">
        <f t="shared" si="0"/>
        <v>21299</v>
      </c>
      <c r="AA10" s="357">
        <f t="shared" si="0"/>
        <v>21359</v>
      </c>
      <c r="AB10" s="357">
        <f t="shared" si="0"/>
        <v>21455</v>
      </c>
      <c r="AC10" s="357">
        <f t="shared" si="0"/>
        <v>21476</v>
      </c>
      <c r="AD10" s="357">
        <f t="shared" si="0"/>
        <v>21687</v>
      </c>
      <c r="AE10" s="357">
        <f t="shared" si="0"/>
        <v>21407</v>
      </c>
      <c r="AF10" s="357">
        <f t="shared" si="0"/>
        <v>21791</v>
      </c>
      <c r="AG10" s="357">
        <f t="shared" si="0"/>
        <v>22622</v>
      </c>
      <c r="AH10" s="357">
        <f t="shared" si="0"/>
        <v>23146</v>
      </c>
      <c r="AI10" s="357">
        <f t="shared" si="0"/>
        <v>23618.1737091711</v>
      </c>
      <c r="AJ10" s="357">
        <f t="shared" si="0"/>
        <v>23801.1737091711</v>
      </c>
      <c r="AK10" s="357">
        <f t="shared" si="0"/>
        <v>28670.1737091711</v>
      </c>
      <c r="AL10" s="357">
        <f t="shared" si="0"/>
        <v>29499.173709171097</v>
      </c>
      <c r="AM10" s="357">
        <f t="shared" si="0"/>
        <v>30497.173709171097</v>
      </c>
      <c r="AN10" s="357">
        <f t="shared" si="0"/>
        <v>31875.173709171097</v>
      </c>
      <c r="AO10" s="411">
        <f t="shared" si="0"/>
        <v>40416.173709171097</v>
      </c>
      <c r="AP10" s="411">
        <f t="shared" si="0"/>
        <v>40714.173709171097</v>
      </c>
      <c r="AQ10" s="411">
        <f t="shared" si="0"/>
        <v>39181.173709171097</v>
      </c>
      <c r="AR10" s="411">
        <f t="shared" si="0"/>
        <v>37536.173709171097</v>
      </c>
      <c r="AS10" s="575">
        <f t="shared" si="0"/>
        <v>36557.173709171097</v>
      </c>
    </row>
    <row r="11" spans="1:121" s="358" customFormat="1" ht="15" customHeight="1" x14ac:dyDescent="0.2">
      <c r="A11" s="434" t="s">
        <v>477</v>
      </c>
      <c r="B11" s="360">
        <v>1160</v>
      </c>
      <c r="C11" s="360">
        <v>1344</v>
      </c>
      <c r="D11" s="360">
        <v>1438</v>
      </c>
      <c r="E11" s="360">
        <v>1556</v>
      </c>
      <c r="F11" s="360">
        <v>1667</v>
      </c>
      <c r="G11" s="360">
        <v>1834</v>
      </c>
      <c r="H11" s="360">
        <v>1824</v>
      </c>
      <c r="I11" s="360">
        <v>2559</v>
      </c>
      <c r="J11" s="361">
        <v>2920</v>
      </c>
      <c r="K11" s="361">
        <v>4404</v>
      </c>
      <c r="L11" s="361">
        <v>2884</v>
      </c>
      <c r="M11" s="361">
        <v>2730</v>
      </c>
      <c r="N11" s="361">
        <v>2159</v>
      </c>
      <c r="O11" s="361">
        <v>2319</v>
      </c>
      <c r="P11" s="361">
        <v>2260</v>
      </c>
      <c r="Q11" s="361">
        <v>2299</v>
      </c>
      <c r="R11" s="361">
        <v>2534</v>
      </c>
      <c r="S11" s="361">
        <v>2685</v>
      </c>
      <c r="T11" s="361">
        <v>3906</v>
      </c>
      <c r="U11" s="361">
        <v>2958</v>
      </c>
      <c r="V11" s="361">
        <v>3298</v>
      </c>
      <c r="W11" s="361">
        <v>3650</v>
      </c>
      <c r="X11" s="361">
        <v>3552</v>
      </c>
      <c r="Y11" s="361">
        <v>3432</v>
      </c>
      <c r="Z11" s="361">
        <v>3475</v>
      </c>
      <c r="AA11" s="361">
        <v>3608</v>
      </c>
      <c r="AB11" s="361">
        <v>3260</v>
      </c>
      <c r="AC11" s="361">
        <v>3475</v>
      </c>
      <c r="AD11" s="361">
        <v>3269</v>
      </c>
      <c r="AE11" s="361">
        <v>3623</v>
      </c>
      <c r="AF11" s="361">
        <v>3809</v>
      </c>
      <c r="AG11" s="361">
        <v>3834</v>
      </c>
      <c r="AH11" s="361">
        <v>4039</v>
      </c>
      <c r="AI11" s="361">
        <v>4030</v>
      </c>
      <c r="AJ11" s="361">
        <v>8150</v>
      </c>
      <c r="AK11" s="361">
        <v>4776</v>
      </c>
      <c r="AL11" s="361">
        <v>5988</v>
      </c>
      <c r="AM11" s="361">
        <v>5812</v>
      </c>
      <c r="AN11" s="361">
        <v>7514</v>
      </c>
      <c r="AO11" s="166">
        <v>7030</v>
      </c>
      <c r="AP11" s="373">
        <v>5851</v>
      </c>
      <c r="AQ11" s="373">
        <v>6535</v>
      </c>
      <c r="AR11" s="373">
        <v>4957</v>
      </c>
      <c r="AS11" s="374">
        <v>5414.3</v>
      </c>
    </row>
    <row r="12" spans="1:121" s="358" customFormat="1" ht="15" customHeight="1" x14ac:dyDescent="0.2">
      <c r="A12" s="434" t="s">
        <v>478</v>
      </c>
      <c r="B12" s="360">
        <v>-1031</v>
      </c>
      <c r="C12" s="360">
        <v>-1095</v>
      </c>
      <c r="D12" s="360">
        <v>-1105</v>
      </c>
      <c r="E12" s="360">
        <v>-1158</v>
      </c>
      <c r="F12" s="360">
        <v>-1389</v>
      </c>
      <c r="G12" s="360">
        <v>-1286</v>
      </c>
      <c r="H12" s="360">
        <v>-1340</v>
      </c>
      <c r="I12" s="360">
        <v>-1432</v>
      </c>
      <c r="J12" s="361">
        <v>-1759</v>
      </c>
      <c r="K12" s="361">
        <v>-1957</v>
      </c>
      <c r="L12" s="361">
        <v>-1802</v>
      </c>
      <c r="M12" s="361">
        <v>-2400</v>
      </c>
      <c r="N12" s="361">
        <v>-2636</v>
      </c>
      <c r="O12" s="361">
        <v>-2373</v>
      </c>
      <c r="P12" s="361">
        <v>-2023</v>
      </c>
      <c r="Q12" s="361">
        <v>-2028</v>
      </c>
      <c r="R12" s="361">
        <v>-2084</v>
      </c>
      <c r="S12" s="361">
        <v>-2060</v>
      </c>
      <c r="T12" s="361">
        <v>-2180</v>
      </c>
      <c r="U12" s="361">
        <v>-2508</v>
      </c>
      <c r="V12" s="361">
        <v>-2722</v>
      </c>
      <c r="W12" s="361">
        <v>-3085</v>
      </c>
      <c r="X12" s="361">
        <v>-3319</v>
      </c>
      <c r="Y12" s="361">
        <v>-3048</v>
      </c>
      <c r="Z12" s="361">
        <v>-3415</v>
      </c>
      <c r="AA12" s="361">
        <v>-3512</v>
      </c>
      <c r="AB12" s="361">
        <v>-3239</v>
      </c>
      <c r="AC12" s="361">
        <v>-3264</v>
      </c>
      <c r="AD12" s="361">
        <v>-3549</v>
      </c>
      <c r="AE12" s="361">
        <v>-3239</v>
      </c>
      <c r="AF12" s="361">
        <v>-2978</v>
      </c>
      <c r="AG12" s="361">
        <v>-3310</v>
      </c>
      <c r="AH12" s="361">
        <v>-3566.8262908288998</v>
      </c>
      <c r="AI12" s="361">
        <v>-3847</v>
      </c>
      <c r="AJ12" s="361">
        <v>-3281</v>
      </c>
      <c r="AK12" s="361">
        <v>-3947</v>
      </c>
      <c r="AL12" s="361">
        <v>-4990</v>
      </c>
      <c r="AM12" s="361">
        <v>-4434</v>
      </c>
      <c r="AN12" s="361">
        <v>-6246</v>
      </c>
      <c r="AO12" s="166">
        <v>-6732</v>
      </c>
      <c r="AP12" s="373">
        <v>-6780</v>
      </c>
      <c r="AQ12" s="373">
        <v>-8180</v>
      </c>
      <c r="AR12" s="373">
        <v>-5936</v>
      </c>
      <c r="AS12" s="374">
        <v>-5444</v>
      </c>
    </row>
    <row r="13" spans="1:121" s="358" customFormat="1" ht="15" customHeight="1" x14ac:dyDescent="0.2">
      <c r="A13" s="505" t="s">
        <v>357</v>
      </c>
      <c r="B13" s="362">
        <v>0</v>
      </c>
      <c r="C13" s="362">
        <v>0</v>
      </c>
      <c r="D13" s="362">
        <v>0</v>
      </c>
      <c r="E13" s="362">
        <v>0</v>
      </c>
      <c r="F13" s="362">
        <v>0</v>
      </c>
      <c r="G13" s="362">
        <v>0</v>
      </c>
      <c r="H13" s="362">
        <v>0</v>
      </c>
      <c r="I13" s="362">
        <v>0</v>
      </c>
      <c r="J13" s="361">
        <v>0</v>
      </c>
      <c r="K13" s="361">
        <v>0</v>
      </c>
      <c r="L13" s="361">
        <v>0</v>
      </c>
      <c r="M13" s="361">
        <v>0</v>
      </c>
      <c r="N13" s="361">
        <v>0</v>
      </c>
      <c r="O13" s="361">
        <v>0</v>
      </c>
      <c r="P13" s="361">
        <v>0</v>
      </c>
      <c r="Q13" s="361">
        <v>0</v>
      </c>
      <c r="R13" s="361">
        <v>0</v>
      </c>
      <c r="S13" s="361">
        <v>0</v>
      </c>
      <c r="T13" s="361">
        <v>0</v>
      </c>
      <c r="U13" s="361">
        <v>0</v>
      </c>
      <c r="V13" s="361">
        <v>0</v>
      </c>
      <c r="W13" s="361">
        <v>0</v>
      </c>
      <c r="X13" s="361">
        <v>0</v>
      </c>
      <c r="Y13" s="361">
        <v>0</v>
      </c>
      <c r="Z13" s="361">
        <v>0</v>
      </c>
      <c r="AA13" s="361">
        <v>0</v>
      </c>
      <c r="AB13" s="361">
        <v>0</v>
      </c>
      <c r="AC13" s="361">
        <v>0</v>
      </c>
      <c r="AD13" s="361">
        <v>0</v>
      </c>
      <c r="AE13" s="361">
        <v>0</v>
      </c>
      <c r="AF13" s="361">
        <v>0</v>
      </c>
      <c r="AG13" s="361">
        <v>0</v>
      </c>
      <c r="AH13" s="361">
        <v>0</v>
      </c>
      <c r="AI13" s="361">
        <v>0</v>
      </c>
      <c r="AJ13" s="361">
        <v>0</v>
      </c>
      <c r="AK13" s="361">
        <v>0</v>
      </c>
      <c r="AL13" s="361">
        <v>0</v>
      </c>
      <c r="AM13" s="361">
        <v>0</v>
      </c>
      <c r="AN13" s="361">
        <v>0</v>
      </c>
      <c r="AO13" s="166">
        <v>0</v>
      </c>
      <c r="AP13" s="373">
        <v>-604</v>
      </c>
      <c r="AQ13" s="373">
        <v>0</v>
      </c>
      <c r="AR13" s="373">
        <v>0</v>
      </c>
      <c r="AS13" s="374">
        <v>0</v>
      </c>
    </row>
    <row r="14" spans="1:121" s="358" customFormat="1" ht="15" customHeight="1" x14ac:dyDescent="0.2">
      <c r="A14" s="434" t="s">
        <v>479</v>
      </c>
      <c r="B14" s="362">
        <v>0</v>
      </c>
      <c r="C14" s="362">
        <v>9</v>
      </c>
      <c r="D14" s="362">
        <v>62</v>
      </c>
      <c r="E14" s="362">
        <v>0</v>
      </c>
      <c r="F14" s="362">
        <v>0</v>
      </c>
      <c r="G14" s="362">
        <v>0</v>
      </c>
      <c r="H14" s="362">
        <v>0</v>
      </c>
      <c r="I14" s="362">
        <v>0</v>
      </c>
      <c r="J14" s="361">
        <v>0</v>
      </c>
      <c r="K14" s="361">
        <v>0</v>
      </c>
      <c r="L14" s="361">
        <v>0</v>
      </c>
      <c r="M14" s="361">
        <v>1030</v>
      </c>
      <c r="N14" s="361">
        <v>0</v>
      </c>
      <c r="O14" s="361">
        <v>0</v>
      </c>
      <c r="P14" s="361">
        <v>0</v>
      </c>
      <c r="Q14" s="361">
        <v>0</v>
      </c>
      <c r="R14" s="361">
        <v>0</v>
      </c>
      <c r="S14" s="361">
        <v>0</v>
      </c>
      <c r="T14" s="361">
        <v>0</v>
      </c>
      <c r="U14" s="361">
        <v>0</v>
      </c>
      <c r="V14" s="361">
        <v>0</v>
      </c>
      <c r="W14" s="361">
        <v>0</v>
      </c>
      <c r="X14" s="361">
        <v>0</v>
      </c>
      <c r="Y14" s="361">
        <v>0</v>
      </c>
      <c r="Z14" s="361">
        <v>0</v>
      </c>
      <c r="AA14" s="361">
        <v>0</v>
      </c>
      <c r="AB14" s="361">
        <v>0</v>
      </c>
      <c r="AC14" s="361">
        <v>0</v>
      </c>
      <c r="AD14" s="361">
        <v>0</v>
      </c>
      <c r="AE14" s="361">
        <v>0</v>
      </c>
      <c r="AF14" s="361">
        <v>0</v>
      </c>
      <c r="AG14" s="361">
        <v>0</v>
      </c>
      <c r="AH14" s="361">
        <v>0</v>
      </c>
      <c r="AI14" s="361">
        <v>0</v>
      </c>
      <c r="AJ14" s="361">
        <v>0</v>
      </c>
      <c r="AK14" s="361">
        <v>0</v>
      </c>
      <c r="AL14" s="361">
        <v>0</v>
      </c>
      <c r="AM14" s="361">
        <v>0</v>
      </c>
      <c r="AN14" s="361">
        <v>7273</v>
      </c>
      <c r="AO14" s="166">
        <v>0</v>
      </c>
      <c r="AP14" s="166">
        <v>0</v>
      </c>
      <c r="AQ14" s="166">
        <v>0</v>
      </c>
      <c r="AR14" s="166">
        <v>0</v>
      </c>
      <c r="AS14" s="374">
        <v>0</v>
      </c>
    </row>
    <row r="15" spans="1:121" s="358" customFormat="1" ht="5.0999999999999996" customHeight="1" x14ac:dyDescent="0.35">
      <c r="A15" s="359"/>
      <c r="B15" s="360"/>
      <c r="C15" s="360"/>
      <c r="D15" s="360"/>
      <c r="E15" s="360"/>
      <c r="F15" s="360"/>
      <c r="G15" s="360"/>
      <c r="H15" s="360"/>
      <c r="I15" s="363"/>
      <c r="J15" s="361"/>
      <c r="K15" s="361"/>
      <c r="L15" s="361"/>
      <c r="M15" s="361"/>
      <c r="N15" s="361"/>
      <c r="O15" s="361"/>
      <c r="P15" s="361"/>
      <c r="Q15" s="361"/>
      <c r="R15" s="361"/>
      <c r="S15" s="361"/>
      <c r="T15" s="361"/>
      <c r="U15" s="361"/>
      <c r="V15" s="361"/>
      <c r="W15" s="361"/>
      <c r="X15" s="361"/>
      <c r="Y15" s="361"/>
      <c r="Z15" s="361"/>
      <c r="AA15" s="361"/>
      <c r="AB15" s="361"/>
      <c r="AC15" s="361"/>
      <c r="AD15" s="361"/>
      <c r="AE15" s="361"/>
      <c r="AF15" s="361"/>
      <c r="AG15" s="361"/>
      <c r="AH15" s="361"/>
      <c r="AI15" s="361"/>
      <c r="AJ15" s="361"/>
      <c r="AK15" s="361"/>
      <c r="AL15" s="361"/>
      <c r="AM15" s="361"/>
      <c r="AN15" s="361"/>
      <c r="AO15" s="166"/>
      <c r="AP15" s="166"/>
      <c r="AQ15" s="166"/>
      <c r="AR15" s="166"/>
      <c r="AS15" s="373"/>
    </row>
    <row r="16" spans="1:121" s="337" customFormat="1" ht="15" customHeight="1" thickBot="1" x14ac:dyDescent="0.25">
      <c r="A16" s="336" t="s">
        <v>112</v>
      </c>
      <c r="B16" s="176">
        <f t="shared" ref="B16:AO16" si="1">SUM(B10:B14)</f>
        <v>6775</v>
      </c>
      <c r="C16" s="176">
        <f t="shared" si="1"/>
        <v>7033</v>
      </c>
      <c r="D16" s="176">
        <f t="shared" si="1"/>
        <v>7428</v>
      </c>
      <c r="E16" s="176">
        <f t="shared" si="1"/>
        <v>7826</v>
      </c>
      <c r="F16" s="176">
        <f t="shared" si="1"/>
        <v>8104</v>
      </c>
      <c r="G16" s="176">
        <f t="shared" si="1"/>
        <v>8652</v>
      </c>
      <c r="H16" s="176">
        <f t="shared" si="1"/>
        <v>9136</v>
      </c>
      <c r="I16" s="176">
        <f t="shared" si="1"/>
        <v>10263</v>
      </c>
      <c r="J16" s="176">
        <f t="shared" si="1"/>
        <v>11424</v>
      </c>
      <c r="K16" s="176">
        <f t="shared" si="1"/>
        <v>13871</v>
      </c>
      <c r="L16" s="176">
        <f t="shared" si="1"/>
        <v>14953</v>
      </c>
      <c r="M16" s="176">
        <f t="shared" si="1"/>
        <v>16313</v>
      </c>
      <c r="N16" s="176">
        <f t="shared" si="1"/>
        <v>15836</v>
      </c>
      <c r="O16" s="176">
        <f t="shared" si="1"/>
        <v>15782</v>
      </c>
      <c r="P16" s="176">
        <f t="shared" si="1"/>
        <v>16019</v>
      </c>
      <c r="Q16" s="176">
        <f t="shared" si="1"/>
        <v>16290</v>
      </c>
      <c r="R16" s="176">
        <f t="shared" si="1"/>
        <v>16740</v>
      </c>
      <c r="S16" s="176">
        <f t="shared" si="1"/>
        <v>17365</v>
      </c>
      <c r="T16" s="176">
        <f t="shared" si="1"/>
        <v>19091</v>
      </c>
      <c r="U16" s="176">
        <f t="shared" si="1"/>
        <v>19541</v>
      </c>
      <c r="V16" s="176">
        <f t="shared" si="1"/>
        <v>20117</v>
      </c>
      <c r="W16" s="176">
        <f t="shared" si="1"/>
        <v>20682</v>
      </c>
      <c r="X16" s="176">
        <f t="shared" si="1"/>
        <v>20915</v>
      </c>
      <c r="Y16" s="176">
        <f t="shared" si="1"/>
        <v>21299</v>
      </c>
      <c r="Z16" s="176">
        <f t="shared" si="1"/>
        <v>21359</v>
      </c>
      <c r="AA16" s="176">
        <f t="shared" si="1"/>
        <v>21455</v>
      </c>
      <c r="AB16" s="176">
        <f t="shared" si="1"/>
        <v>21476</v>
      </c>
      <c r="AC16" s="176">
        <f t="shared" si="1"/>
        <v>21687</v>
      </c>
      <c r="AD16" s="176">
        <f t="shared" si="1"/>
        <v>21407</v>
      </c>
      <c r="AE16" s="176">
        <f t="shared" si="1"/>
        <v>21791</v>
      </c>
      <c r="AF16" s="176">
        <f t="shared" si="1"/>
        <v>22622</v>
      </c>
      <c r="AG16" s="176">
        <f t="shared" si="1"/>
        <v>23146</v>
      </c>
      <c r="AH16" s="176">
        <f t="shared" si="1"/>
        <v>23618.1737091711</v>
      </c>
      <c r="AI16" s="176">
        <f t="shared" si="1"/>
        <v>23801.1737091711</v>
      </c>
      <c r="AJ16" s="176">
        <f t="shared" si="1"/>
        <v>28670.1737091711</v>
      </c>
      <c r="AK16" s="176">
        <f t="shared" si="1"/>
        <v>29499.173709171097</v>
      </c>
      <c r="AL16" s="176">
        <f t="shared" si="1"/>
        <v>30497.173709171097</v>
      </c>
      <c r="AM16" s="176">
        <f t="shared" si="1"/>
        <v>31875.173709171097</v>
      </c>
      <c r="AN16" s="176">
        <f t="shared" si="1"/>
        <v>40416.173709171097</v>
      </c>
      <c r="AO16" s="176">
        <f t="shared" si="1"/>
        <v>40714.173709171097</v>
      </c>
      <c r="AP16" s="176">
        <f t="shared" ref="AP16:AQ16" si="2">SUM(AP10:AP14)</f>
        <v>39181.173709171097</v>
      </c>
      <c r="AQ16" s="176">
        <f t="shared" si="2"/>
        <v>37536.173709171097</v>
      </c>
      <c r="AR16" s="176">
        <f t="shared" ref="AR16:AS16" si="3">SUM(AR10:AR14)</f>
        <v>36557.173709171097</v>
      </c>
      <c r="AS16" s="375">
        <f t="shared" si="3"/>
        <v>36527.473709171099</v>
      </c>
      <c r="AT16" s="193"/>
      <c r="AU16" s="193"/>
      <c r="AV16" s="193"/>
      <c r="AW16" s="193"/>
      <c r="AX16" s="193"/>
      <c r="AY16" s="193"/>
      <c r="AZ16" s="193"/>
      <c r="BA16" s="193"/>
      <c r="BB16" s="193"/>
      <c r="BC16" s="193"/>
      <c r="BD16" s="193"/>
      <c r="BE16" s="193"/>
      <c r="BF16" s="193"/>
      <c r="BG16" s="193"/>
      <c r="BH16" s="193"/>
      <c r="BI16" s="193"/>
      <c r="BJ16" s="193"/>
      <c r="BK16" s="193"/>
      <c r="BL16" s="193"/>
      <c r="BM16" s="193"/>
      <c r="BN16" s="193"/>
      <c r="BO16" s="193"/>
      <c r="BP16" s="193"/>
      <c r="BQ16" s="193"/>
      <c r="BR16" s="193"/>
      <c r="BS16" s="193"/>
      <c r="BT16" s="193"/>
      <c r="BU16" s="193"/>
      <c r="BV16" s="193"/>
      <c r="BW16" s="193"/>
      <c r="BX16" s="193"/>
      <c r="BY16" s="193"/>
      <c r="BZ16" s="193"/>
      <c r="CA16" s="193"/>
      <c r="CB16" s="193"/>
      <c r="CC16" s="193"/>
      <c r="CD16" s="193"/>
      <c r="CE16" s="193"/>
      <c r="CF16" s="193"/>
      <c r="CG16" s="193"/>
      <c r="CH16" s="193"/>
      <c r="CI16" s="193"/>
      <c r="CJ16" s="193"/>
      <c r="CK16" s="193"/>
      <c r="CL16" s="193"/>
      <c r="CM16" s="193"/>
      <c r="CN16" s="193"/>
      <c r="CO16" s="193"/>
      <c r="CP16" s="193"/>
      <c r="CQ16" s="193"/>
      <c r="CR16" s="193"/>
      <c r="CS16" s="193"/>
      <c r="CT16" s="193"/>
      <c r="CU16" s="193"/>
      <c r="CV16" s="193"/>
      <c r="CW16" s="193"/>
      <c r="CX16" s="193"/>
      <c r="CY16" s="193"/>
      <c r="CZ16" s="193"/>
      <c r="DA16" s="193"/>
      <c r="DB16" s="193"/>
      <c r="DC16" s="193"/>
      <c r="DD16" s="193"/>
      <c r="DE16" s="193"/>
      <c r="DF16" s="193"/>
      <c r="DG16" s="193"/>
      <c r="DH16" s="193"/>
      <c r="DI16" s="193"/>
      <c r="DJ16" s="193"/>
      <c r="DK16" s="193"/>
      <c r="DL16" s="193"/>
      <c r="DM16" s="193"/>
      <c r="DN16" s="193"/>
      <c r="DO16" s="193"/>
      <c r="DP16" s="193"/>
      <c r="DQ16" s="193"/>
    </row>
    <row r="17" spans="1:121" s="366" customFormat="1" ht="3.75" customHeight="1" thickTop="1" x14ac:dyDescent="0.2">
      <c r="A17" s="364"/>
      <c r="B17" s="365"/>
      <c r="C17" s="365"/>
      <c r="D17" s="365"/>
      <c r="E17" s="365"/>
      <c r="F17" s="365"/>
      <c r="G17" s="365"/>
      <c r="H17" s="365"/>
      <c r="I17" s="365"/>
      <c r="J17" s="365"/>
      <c r="K17" s="365"/>
      <c r="L17" s="365"/>
      <c r="M17" s="365"/>
      <c r="N17" s="365"/>
      <c r="O17" s="365"/>
      <c r="P17" s="365"/>
      <c r="Q17" s="365"/>
      <c r="R17" s="365"/>
      <c r="S17" s="365"/>
      <c r="T17" s="365"/>
      <c r="U17" s="365"/>
      <c r="V17" s="365"/>
      <c r="W17" s="365"/>
      <c r="X17" s="365"/>
      <c r="Y17" s="365"/>
      <c r="Z17" s="365"/>
      <c r="AA17" s="365"/>
      <c r="AB17" s="365"/>
      <c r="AC17" s="365"/>
      <c r="AD17" s="365"/>
      <c r="AE17" s="365"/>
      <c r="AF17" s="365"/>
      <c r="AG17" s="365"/>
      <c r="AH17" s="365"/>
      <c r="AI17" s="365"/>
      <c r="AJ17" s="365"/>
      <c r="AK17" s="365"/>
      <c r="AL17" s="365"/>
      <c r="AM17" s="365"/>
      <c r="AN17" s="365"/>
      <c r="AO17" s="355"/>
      <c r="AP17" s="355"/>
      <c r="AQ17" s="355"/>
      <c r="AR17" s="355"/>
      <c r="AS17" s="576"/>
    </row>
    <row r="18" spans="1:121" s="358" customFormat="1" ht="15" customHeight="1" x14ac:dyDescent="0.2">
      <c r="A18" s="434" t="s">
        <v>480</v>
      </c>
      <c r="B18" s="360">
        <v>3772</v>
      </c>
      <c r="C18" s="360">
        <v>3856</v>
      </c>
      <c r="D18" s="360">
        <v>4196</v>
      </c>
      <c r="E18" s="360">
        <v>4413</v>
      </c>
      <c r="F18" s="360">
        <v>4598</v>
      </c>
      <c r="G18" s="360">
        <v>4807</v>
      </c>
      <c r="H18" s="360">
        <v>5274</v>
      </c>
      <c r="I18" s="360">
        <v>5928</v>
      </c>
      <c r="J18" s="361">
        <v>6794</v>
      </c>
      <c r="K18" s="361">
        <v>7480</v>
      </c>
      <c r="L18" s="361">
        <v>8422</v>
      </c>
      <c r="M18" s="361">
        <v>8886</v>
      </c>
      <c r="N18" s="361">
        <v>8230</v>
      </c>
      <c r="O18" s="361">
        <v>7885</v>
      </c>
      <c r="P18" s="361">
        <v>7895</v>
      </c>
      <c r="Q18" s="361">
        <v>7898</v>
      </c>
      <c r="R18" s="361">
        <v>8298</v>
      </c>
      <c r="S18" s="361">
        <v>8669</v>
      </c>
      <c r="T18" s="361">
        <v>9173</v>
      </c>
      <c r="U18" s="361">
        <v>9876</v>
      </c>
      <c r="V18" s="361">
        <v>10575</v>
      </c>
      <c r="W18" s="361">
        <v>10809</v>
      </c>
      <c r="X18" s="361">
        <v>10897</v>
      </c>
      <c r="Y18" s="361">
        <v>11182</v>
      </c>
      <c r="Z18" s="361">
        <v>11269</v>
      </c>
      <c r="AA18" s="361">
        <v>10879</v>
      </c>
      <c r="AB18" s="361">
        <v>10789</v>
      </c>
      <c r="AC18" s="361">
        <v>10851</v>
      </c>
      <c r="AD18" s="361">
        <v>10778</v>
      </c>
      <c r="AE18" s="361">
        <v>11097</v>
      </c>
      <c r="AF18" s="361">
        <v>11589</v>
      </c>
      <c r="AG18" s="361">
        <v>12004</v>
      </c>
      <c r="AH18" s="361">
        <v>12325</v>
      </c>
      <c r="AI18" s="361">
        <v>12699</v>
      </c>
      <c r="AJ18" s="361">
        <v>13620</v>
      </c>
      <c r="AK18" s="361">
        <v>14478</v>
      </c>
      <c r="AL18" s="361">
        <v>14365</v>
      </c>
      <c r="AM18" s="361">
        <v>16374</v>
      </c>
      <c r="AN18" s="361">
        <v>21254</v>
      </c>
      <c r="AO18" s="166">
        <v>22468.965</v>
      </c>
      <c r="AP18" s="166">
        <v>21575</v>
      </c>
      <c r="AQ18" s="166">
        <v>18767</v>
      </c>
      <c r="AR18" s="166">
        <v>17346</v>
      </c>
      <c r="AS18" s="374">
        <v>16888.4021903137</v>
      </c>
    </row>
    <row r="19" spans="1:121" s="358" customFormat="1" ht="15" customHeight="1" x14ac:dyDescent="0.2">
      <c r="A19" s="434" t="s">
        <v>481</v>
      </c>
      <c r="B19" s="360">
        <v>1900</v>
      </c>
      <c r="C19" s="360">
        <v>2067</v>
      </c>
      <c r="D19" s="360">
        <v>2120</v>
      </c>
      <c r="E19" s="360">
        <v>2285</v>
      </c>
      <c r="F19" s="360">
        <v>2352</v>
      </c>
      <c r="G19" s="360">
        <v>2662</v>
      </c>
      <c r="H19" s="360">
        <v>2670</v>
      </c>
      <c r="I19" s="360">
        <v>2714</v>
      </c>
      <c r="J19" s="361">
        <v>2941</v>
      </c>
      <c r="K19" s="361">
        <v>3399</v>
      </c>
      <c r="L19" s="361">
        <v>3540</v>
      </c>
      <c r="M19" s="361">
        <v>4424</v>
      </c>
      <c r="N19" s="361">
        <v>4601</v>
      </c>
      <c r="O19" s="361">
        <v>4889</v>
      </c>
      <c r="P19" s="361">
        <v>5122</v>
      </c>
      <c r="Q19" s="361">
        <v>5390</v>
      </c>
      <c r="R19" s="361">
        <v>5439</v>
      </c>
      <c r="S19" s="361">
        <v>5693</v>
      </c>
      <c r="T19" s="361">
        <v>5909</v>
      </c>
      <c r="U19" s="361">
        <f>5654</f>
        <v>5654</v>
      </c>
      <c r="V19" s="361">
        <v>5530</v>
      </c>
      <c r="W19" s="361">
        <v>5863</v>
      </c>
      <c r="X19" s="361">
        <v>6007</v>
      </c>
      <c r="Y19" s="361">
        <v>6107</v>
      </c>
      <c r="Z19" s="361">
        <v>6080</v>
      </c>
      <c r="AA19" s="361">
        <v>6568</v>
      </c>
      <c r="AB19" s="361">
        <v>6678</v>
      </c>
      <c r="AC19" s="361">
        <v>6800</v>
      </c>
      <c r="AD19" s="361">
        <v>6621</v>
      </c>
      <c r="AE19" s="361">
        <v>6685</v>
      </c>
      <c r="AF19" s="361">
        <v>7025</v>
      </c>
      <c r="AG19" s="361">
        <v>7135</v>
      </c>
      <c r="AH19" s="361">
        <v>7285</v>
      </c>
      <c r="AI19" s="361">
        <v>7098</v>
      </c>
      <c r="AJ19" s="361">
        <v>8641</v>
      </c>
      <c r="AK19" s="361">
        <v>8611</v>
      </c>
      <c r="AL19" s="361">
        <v>9725</v>
      </c>
      <c r="AM19" s="361">
        <v>9091</v>
      </c>
      <c r="AN19" s="361">
        <v>11671</v>
      </c>
      <c r="AO19" s="166">
        <v>10754.62</v>
      </c>
      <c r="AP19" s="166">
        <v>10699</v>
      </c>
      <c r="AQ19" s="166">
        <v>11855</v>
      </c>
      <c r="AR19" s="166">
        <v>12300</v>
      </c>
      <c r="AS19" s="374">
        <v>12720.5493731593</v>
      </c>
    </row>
    <row r="20" spans="1:121" s="343" customFormat="1" ht="15" customHeight="1" x14ac:dyDescent="0.2">
      <c r="A20" s="506" t="s">
        <v>343</v>
      </c>
      <c r="B20" s="367">
        <f t="shared" ref="B20:AO20" si="4">SUM(B18:B19)</f>
        <v>5672</v>
      </c>
      <c r="C20" s="367">
        <f t="shared" si="4"/>
        <v>5923</v>
      </c>
      <c r="D20" s="367">
        <f t="shared" si="4"/>
        <v>6316</v>
      </c>
      <c r="E20" s="367">
        <f t="shared" si="4"/>
        <v>6698</v>
      </c>
      <c r="F20" s="367">
        <f t="shared" si="4"/>
        <v>6950</v>
      </c>
      <c r="G20" s="367">
        <f t="shared" si="4"/>
        <v>7469</v>
      </c>
      <c r="H20" s="367">
        <f t="shared" si="4"/>
        <v>7944</v>
      </c>
      <c r="I20" s="367">
        <f t="shared" si="4"/>
        <v>8642</v>
      </c>
      <c r="J20" s="368">
        <f t="shared" si="4"/>
        <v>9735</v>
      </c>
      <c r="K20" s="368">
        <f t="shared" si="4"/>
        <v>10879</v>
      </c>
      <c r="L20" s="368">
        <f t="shared" si="4"/>
        <v>11962</v>
      </c>
      <c r="M20" s="368">
        <f t="shared" si="4"/>
        <v>13310</v>
      </c>
      <c r="N20" s="368">
        <f t="shared" si="4"/>
        <v>12831</v>
      </c>
      <c r="O20" s="368">
        <f t="shared" si="4"/>
        <v>12774</v>
      </c>
      <c r="P20" s="368">
        <f t="shared" si="4"/>
        <v>13017</v>
      </c>
      <c r="Q20" s="368">
        <f t="shared" si="4"/>
        <v>13288</v>
      </c>
      <c r="R20" s="368">
        <f t="shared" si="4"/>
        <v>13737</v>
      </c>
      <c r="S20" s="368">
        <f t="shared" si="4"/>
        <v>14362</v>
      </c>
      <c r="T20" s="368">
        <f t="shared" si="4"/>
        <v>15082</v>
      </c>
      <c r="U20" s="368">
        <f t="shared" si="4"/>
        <v>15530</v>
      </c>
      <c r="V20" s="368">
        <f t="shared" si="4"/>
        <v>16105</v>
      </c>
      <c r="W20" s="368">
        <f t="shared" si="4"/>
        <v>16672</v>
      </c>
      <c r="X20" s="368">
        <f t="shared" si="4"/>
        <v>16904</v>
      </c>
      <c r="Y20" s="368">
        <f t="shared" si="4"/>
        <v>17289</v>
      </c>
      <c r="Z20" s="368">
        <f t="shared" si="4"/>
        <v>17349</v>
      </c>
      <c r="AA20" s="368">
        <f t="shared" si="4"/>
        <v>17447</v>
      </c>
      <c r="AB20" s="368">
        <f t="shared" si="4"/>
        <v>17467</v>
      </c>
      <c r="AC20" s="368">
        <f t="shared" si="4"/>
        <v>17651</v>
      </c>
      <c r="AD20" s="368">
        <f t="shared" si="4"/>
        <v>17399</v>
      </c>
      <c r="AE20" s="368">
        <f t="shared" si="4"/>
        <v>17782</v>
      </c>
      <c r="AF20" s="368">
        <f t="shared" si="4"/>
        <v>18614</v>
      </c>
      <c r="AG20" s="368">
        <f t="shared" si="4"/>
        <v>19139</v>
      </c>
      <c r="AH20" s="368">
        <f t="shared" si="4"/>
        <v>19610</v>
      </c>
      <c r="AI20" s="368">
        <f t="shared" si="4"/>
        <v>19797</v>
      </c>
      <c r="AJ20" s="368">
        <f t="shared" si="4"/>
        <v>22261</v>
      </c>
      <c r="AK20" s="368">
        <f t="shared" si="4"/>
        <v>23089</v>
      </c>
      <c r="AL20" s="368">
        <f t="shared" si="4"/>
        <v>24090</v>
      </c>
      <c r="AM20" s="368">
        <f t="shared" si="4"/>
        <v>25465</v>
      </c>
      <c r="AN20" s="368">
        <f t="shared" si="4"/>
        <v>32925</v>
      </c>
      <c r="AO20" s="174">
        <f t="shared" si="4"/>
        <v>33223.584999999999</v>
      </c>
      <c r="AP20" s="174">
        <f t="shared" ref="AP20:AQ20" si="5">SUM(AP18:AP19)</f>
        <v>32274</v>
      </c>
      <c r="AQ20" s="174">
        <f t="shared" si="5"/>
        <v>30622</v>
      </c>
      <c r="AR20" s="174">
        <f t="shared" ref="AR20:AS20" si="6">SUM(AR18:AR19)</f>
        <v>29646</v>
      </c>
      <c r="AS20" s="465">
        <f t="shared" si="6"/>
        <v>29608.951563472998</v>
      </c>
    </row>
    <row r="21" spans="1:121" s="358" customFormat="1" ht="5.0999999999999996" customHeight="1" x14ac:dyDescent="0.2">
      <c r="A21" s="359"/>
      <c r="B21" s="360"/>
      <c r="C21" s="360"/>
      <c r="D21" s="360"/>
      <c r="E21" s="360"/>
      <c r="F21" s="360"/>
      <c r="G21" s="360"/>
      <c r="H21" s="360"/>
      <c r="I21" s="360"/>
      <c r="J21" s="361"/>
      <c r="K21" s="361"/>
      <c r="L21" s="361"/>
      <c r="M21" s="361"/>
      <c r="N21" s="361"/>
      <c r="O21" s="361"/>
      <c r="P21" s="361"/>
      <c r="Q21" s="361"/>
      <c r="R21" s="361"/>
      <c r="S21" s="361"/>
      <c r="T21" s="361"/>
      <c r="U21" s="361"/>
      <c r="V21" s="361"/>
      <c r="W21" s="361"/>
      <c r="X21" s="361"/>
      <c r="Y21" s="361"/>
      <c r="Z21" s="361"/>
      <c r="AA21" s="361"/>
      <c r="AB21" s="361"/>
      <c r="AC21" s="361"/>
      <c r="AD21" s="361"/>
      <c r="AE21" s="361"/>
      <c r="AF21" s="361"/>
      <c r="AG21" s="361"/>
      <c r="AH21" s="361"/>
      <c r="AI21" s="361"/>
      <c r="AJ21" s="361"/>
      <c r="AK21" s="361"/>
      <c r="AL21" s="361"/>
      <c r="AM21" s="361"/>
      <c r="AN21" s="361"/>
      <c r="AO21" s="166"/>
      <c r="AP21" s="166"/>
      <c r="AQ21" s="166"/>
      <c r="AR21" s="166"/>
      <c r="AS21" s="374"/>
    </row>
    <row r="22" spans="1:121" s="343" customFormat="1" ht="15" customHeight="1" x14ac:dyDescent="0.2">
      <c r="A22" s="356" t="s">
        <v>482</v>
      </c>
      <c r="B22" s="367">
        <v>1103</v>
      </c>
      <c r="C22" s="367">
        <v>1110</v>
      </c>
      <c r="D22" s="367">
        <v>1112</v>
      </c>
      <c r="E22" s="367">
        <v>1128</v>
      </c>
      <c r="F22" s="367">
        <v>1154</v>
      </c>
      <c r="G22" s="367">
        <v>1183</v>
      </c>
      <c r="H22" s="367">
        <v>1192</v>
      </c>
      <c r="I22" s="367">
        <v>1621</v>
      </c>
      <c r="J22" s="368">
        <v>1689</v>
      </c>
      <c r="K22" s="368">
        <v>2992</v>
      </c>
      <c r="L22" s="368">
        <v>2991</v>
      </c>
      <c r="M22" s="368">
        <v>3003</v>
      </c>
      <c r="N22" s="368">
        <v>3005</v>
      </c>
      <c r="O22" s="368">
        <v>3008</v>
      </c>
      <c r="P22" s="368">
        <v>3002</v>
      </c>
      <c r="Q22" s="368">
        <v>3002</v>
      </c>
      <c r="R22" s="368">
        <v>3003</v>
      </c>
      <c r="S22" s="368">
        <v>3003</v>
      </c>
      <c r="T22" s="368">
        <v>4009</v>
      </c>
      <c r="U22" s="368">
        <v>4011</v>
      </c>
      <c r="V22" s="368">
        <f>4012</f>
        <v>4012</v>
      </c>
      <c r="W22" s="368">
        <v>4010</v>
      </c>
      <c r="X22" s="368">
        <v>4011</v>
      </c>
      <c r="Y22" s="368">
        <v>4010</v>
      </c>
      <c r="Z22" s="368">
        <f>4010</f>
        <v>4010</v>
      </c>
      <c r="AA22" s="368">
        <v>4008</v>
      </c>
      <c r="AB22" s="368">
        <v>4009</v>
      </c>
      <c r="AC22" s="368">
        <v>4036</v>
      </c>
      <c r="AD22" s="368">
        <v>4008</v>
      </c>
      <c r="AE22" s="368">
        <v>4009</v>
      </c>
      <c r="AF22" s="368">
        <v>4008</v>
      </c>
      <c r="AG22" s="368">
        <v>4007</v>
      </c>
      <c r="AH22" s="368">
        <v>4008</v>
      </c>
      <c r="AI22" s="368">
        <v>4004</v>
      </c>
      <c r="AJ22" s="368">
        <v>6409</v>
      </c>
      <c r="AK22" s="368">
        <v>6410</v>
      </c>
      <c r="AL22" s="368">
        <v>6407</v>
      </c>
      <c r="AM22" s="368">
        <v>6410</v>
      </c>
      <c r="AN22" s="368">
        <v>7491</v>
      </c>
      <c r="AO22" s="174">
        <v>7490.0275630321985</v>
      </c>
      <c r="AP22" s="174">
        <v>6907</v>
      </c>
      <c r="AQ22" s="174">
        <v>6914</v>
      </c>
      <c r="AR22" s="174">
        <v>6911</v>
      </c>
      <c r="AS22" s="465">
        <v>6917.8450274399002</v>
      </c>
    </row>
    <row r="23" spans="1:121" ht="6.95" customHeight="1" x14ac:dyDescent="0.2">
      <c r="A23" s="369"/>
      <c r="B23" s="370"/>
      <c r="C23" s="370"/>
      <c r="D23" s="370"/>
      <c r="E23" s="370"/>
      <c r="F23" s="370"/>
      <c r="G23" s="370"/>
      <c r="H23" s="370"/>
      <c r="I23" s="370"/>
      <c r="J23" s="306"/>
      <c r="K23" s="306"/>
      <c r="L23" s="306"/>
      <c r="M23" s="306"/>
      <c r="N23" s="306"/>
      <c r="O23" s="306"/>
      <c r="P23" s="306"/>
      <c r="Q23" s="306"/>
      <c r="R23" s="306"/>
      <c r="S23" s="306"/>
      <c r="T23" s="306"/>
      <c r="U23" s="306"/>
      <c r="V23" s="306"/>
      <c r="W23" s="306"/>
      <c r="X23" s="306"/>
      <c r="Y23" s="306"/>
      <c r="Z23" s="306"/>
      <c r="AA23" s="306"/>
      <c r="AB23" s="306"/>
      <c r="AC23" s="306"/>
      <c r="AD23" s="306"/>
      <c r="AE23" s="306"/>
      <c r="AF23" s="306"/>
      <c r="AG23" s="306"/>
      <c r="AH23" s="306"/>
      <c r="AI23" s="306"/>
      <c r="AJ23" s="306"/>
      <c r="AK23" s="306"/>
      <c r="AL23" s="306"/>
      <c r="AM23" s="306"/>
      <c r="AN23" s="306"/>
      <c r="AO23" s="412"/>
      <c r="AP23" s="412"/>
      <c r="AQ23" s="412"/>
      <c r="AR23" s="412"/>
      <c r="AS23" s="412"/>
    </row>
    <row r="24" spans="1:121" s="337" customFormat="1" ht="15" customHeight="1" thickBot="1" x14ac:dyDescent="0.25">
      <c r="A24" s="336" t="s">
        <v>13</v>
      </c>
      <c r="B24" s="176">
        <f t="shared" ref="B24:AO24" si="7">B20+B22</f>
        <v>6775</v>
      </c>
      <c r="C24" s="176">
        <f t="shared" si="7"/>
        <v>7033</v>
      </c>
      <c r="D24" s="176">
        <f t="shared" si="7"/>
        <v>7428</v>
      </c>
      <c r="E24" s="176">
        <f t="shared" si="7"/>
        <v>7826</v>
      </c>
      <c r="F24" s="176">
        <f t="shared" si="7"/>
        <v>8104</v>
      </c>
      <c r="G24" s="176">
        <f t="shared" si="7"/>
        <v>8652</v>
      </c>
      <c r="H24" s="176">
        <f t="shared" si="7"/>
        <v>9136</v>
      </c>
      <c r="I24" s="176">
        <f t="shared" si="7"/>
        <v>10263</v>
      </c>
      <c r="J24" s="176">
        <f t="shared" si="7"/>
        <v>11424</v>
      </c>
      <c r="K24" s="176">
        <f t="shared" si="7"/>
        <v>13871</v>
      </c>
      <c r="L24" s="176">
        <f t="shared" si="7"/>
        <v>14953</v>
      </c>
      <c r="M24" s="176">
        <f t="shared" si="7"/>
        <v>16313</v>
      </c>
      <c r="N24" s="176">
        <f t="shared" si="7"/>
        <v>15836</v>
      </c>
      <c r="O24" s="176">
        <f t="shared" si="7"/>
        <v>15782</v>
      </c>
      <c r="P24" s="176">
        <f t="shared" si="7"/>
        <v>16019</v>
      </c>
      <c r="Q24" s="176">
        <f t="shared" si="7"/>
        <v>16290</v>
      </c>
      <c r="R24" s="176">
        <f t="shared" si="7"/>
        <v>16740</v>
      </c>
      <c r="S24" s="176">
        <f t="shared" si="7"/>
        <v>17365</v>
      </c>
      <c r="T24" s="176">
        <f t="shared" si="7"/>
        <v>19091</v>
      </c>
      <c r="U24" s="176">
        <f t="shared" si="7"/>
        <v>19541</v>
      </c>
      <c r="V24" s="176">
        <f t="shared" si="7"/>
        <v>20117</v>
      </c>
      <c r="W24" s="176">
        <f t="shared" si="7"/>
        <v>20682</v>
      </c>
      <c r="X24" s="176">
        <f t="shared" si="7"/>
        <v>20915</v>
      </c>
      <c r="Y24" s="176">
        <f t="shared" si="7"/>
        <v>21299</v>
      </c>
      <c r="Z24" s="176">
        <f t="shared" si="7"/>
        <v>21359</v>
      </c>
      <c r="AA24" s="176">
        <f t="shared" si="7"/>
        <v>21455</v>
      </c>
      <c r="AB24" s="176">
        <f t="shared" si="7"/>
        <v>21476</v>
      </c>
      <c r="AC24" s="176">
        <f t="shared" si="7"/>
        <v>21687</v>
      </c>
      <c r="AD24" s="176">
        <f t="shared" si="7"/>
        <v>21407</v>
      </c>
      <c r="AE24" s="176">
        <f t="shared" si="7"/>
        <v>21791</v>
      </c>
      <c r="AF24" s="176">
        <f t="shared" si="7"/>
        <v>22622</v>
      </c>
      <c r="AG24" s="176">
        <f t="shared" si="7"/>
        <v>23146</v>
      </c>
      <c r="AH24" s="176">
        <f t="shared" si="7"/>
        <v>23618</v>
      </c>
      <c r="AI24" s="176">
        <f t="shared" si="7"/>
        <v>23801</v>
      </c>
      <c r="AJ24" s="176">
        <f t="shared" si="7"/>
        <v>28670</v>
      </c>
      <c r="AK24" s="176">
        <f t="shared" si="7"/>
        <v>29499</v>
      </c>
      <c r="AL24" s="176">
        <f t="shared" si="7"/>
        <v>30497</v>
      </c>
      <c r="AM24" s="176">
        <f t="shared" si="7"/>
        <v>31875</v>
      </c>
      <c r="AN24" s="176">
        <f t="shared" si="7"/>
        <v>40416</v>
      </c>
      <c r="AO24" s="176">
        <f t="shared" si="7"/>
        <v>40713.612563032199</v>
      </c>
      <c r="AP24" s="176">
        <f t="shared" ref="AP24:AQ24" si="8">AP20+AP22</f>
        <v>39181</v>
      </c>
      <c r="AQ24" s="176">
        <f t="shared" si="8"/>
        <v>37536</v>
      </c>
      <c r="AR24" s="176">
        <f t="shared" ref="AR24:AS24" si="9">AR20+AR22</f>
        <v>36557</v>
      </c>
      <c r="AS24" s="176">
        <f t="shared" si="9"/>
        <v>36526.796590912898</v>
      </c>
      <c r="AT24" s="193"/>
      <c r="AU24" s="193"/>
      <c r="AV24" s="193"/>
      <c r="AW24" s="193"/>
      <c r="AX24" s="193"/>
      <c r="AY24" s="193"/>
      <c r="AZ24" s="193"/>
      <c r="BA24" s="193"/>
      <c r="BB24" s="193"/>
      <c r="BC24" s="193"/>
      <c r="BD24" s="193"/>
      <c r="BE24" s="193"/>
      <c r="BF24" s="193"/>
      <c r="BG24" s="193"/>
      <c r="BH24" s="193"/>
      <c r="BI24" s="193"/>
      <c r="BJ24" s="193"/>
      <c r="BK24" s="193"/>
      <c r="BL24" s="193"/>
      <c r="BM24" s="193"/>
      <c r="BN24" s="193"/>
      <c r="BO24" s="193"/>
      <c r="BP24" s="193"/>
      <c r="BQ24" s="193"/>
      <c r="BR24" s="193"/>
      <c r="BS24" s="193"/>
      <c r="BT24" s="193"/>
      <c r="BU24" s="193"/>
      <c r="BV24" s="193"/>
      <c r="BW24" s="193"/>
      <c r="BX24" s="193"/>
      <c r="BY24" s="193"/>
      <c r="BZ24" s="193"/>
      <c r="CA24" s="193"/>
      <c r="CB24" s="193"/>
      <c r="CC24" s="193"/>
      <c r="CD24" s="193"/>
      <c r="CE24" s="193"/>
      <c r="CF24" s="193"/>
      <c r="CG24" s="193"/>
      <c r="CH24" s="193"/>
      <c r="CI24" s="193"/>
      <c r="CJ24" s="193"/>
      <c r="CK24" s="193"/>
      <c r="CL24" s="193"/>
      <c r="CM24" s="193"/>
      <c r="CN24" s="193"/>
      <c r="CO24" s="193"/>
      <c r="CP24" s="193"/>
      <c r="CQ24" s="193"/>
      <c r="CR24" s="193"/>
      <c r="CS24" s="193"/>
      <c r="CT24" s="193"/>
      <c r="CU24" s="193"/>
      <c r="CV24" s="193"/>
      <c r="CW24" s="193"/>
      <c r="CX24" s="193"/>
      <c r="CY24" s="193"/>
      <c r="CZ24" s="193"/>
      <c r="DA24" s="193"/>
      <c r="DB24" s="193"/>
      <c r="DC24" s="193"/>
      <c r="DD24" s="193"/>
      <c r="DE24" s="193"/>
      <c r="DF24" s="193"/>
      <c r="DG24" s="193"/>
      <c r="DH24" s="193"/>
      <c r="DI24" s="193"/>
      <c r="DJ24" s="193"/>
      <c r="DK24" s="193"/>
      <c r="DL24" s="193"/>
      <c r="DM24" s="193"/>
      <c r="DN24" s="193"/>
      <c r="DO24" s="193"/>
      <c r="DP24" s="193"/>
      <c r="DQ24" s="193"/>
    </row>
    <row r="25" spans="1:121" s="372" customFormat="1" ht="13.5" thickTop="1" x14ac:dyDescent="0.2">
      <c r="A25" s="349"/>
      <c r="B25" s="349"/>
      <c r="C25" s="349"/>
      <c r="D25" s="349"/>
      <c r="E25" s="349"/>
      <c r="F25" s="349"/>
      <c r="G25" s="349"/>
      <c r="H25" s="349"/>
      <c r="I25" s="349"/>
      <c r="J25" s="349"/>
      <c r="K25" s="349"/>
      <c r="L25" s="349"/>
      <c r="M25" s="349"/>
      <c r="N25" s="349"/>
      <c r="O25" s="349"/>
      <c r="P25" s="349"/>
      <c r="Q25" s="349"/>
      <c r="R25" s="349"/>
      <c r="S25" s="349"/>
      <c r="T25" s="349"/>
      <c r="U25" s="349"/>
      <c r="V25" s="349"/>
      <c r="W25" s="349"/>
      <c r="X25" s="349"/>
      <c r="Y25" s="349"/>
      <c r="Z25" s="349"/>
      <c r="AA25" s="349"/>
      <c r="AB25" s="349"/>
      <c r="AC25" s="349"/>
      <c r="AD25" s="371"/>
      <c r="AE25" s="371"/>
      <c r="AF25" s="371"/>
      <c r="AG25" s="371"/>
      <c r="AH25" s="371"/>
      <c r="AI25" s="371"/>
      <c r="AJ25" s="371"/>
      <c r="AK25" s="371"/>
      <c r="AL25" s="350"/>
      <c r="AM25" s="350"/>
    </row>
    <row r="26" spans="1:121" s="372" customFormat="1" ht="108" x14ac:dyDescent="0.2">
      <c r="A26" s="507" t="s">
        <v>359</v>
      </c>
      <c r="B26" s="349"/>
      <c r="C26" s="349"/>
      <c r="D26" s="349"/>
      <c r="E26" s="349"/>
      <c r="F26" s="349"/>
      <c r="G26" s="349"/>
      <c r="H26" s="349"/>
      <c r="I26" s="349"/>
      <c r="J26" s="349"/>
      <c r="K26" s="349"/>
      <c r="L26" s="349"/>
      <c r="M26" s="349"/>
      <c r="N26" s="349"/>
      <c r="O26" s="349"/>
      <c r="P26" s="349"/>
      <c r="Q26" s="349"/>
      <c r="R26" s="349"/>
      <c r="S26" s="349"/>
      <c r="T26" s="349"/>
      <c r="U26" s="349"/>
      <c r="V26" s="349"/>
      <c r="W26" s="349"/>
      <c r="X26" s="349"/>
      <c r="Y26" s="349"/>
      <c r="Z26" s="349"/>
      <c r="AA26" s="349"/>
      <c r="AB26" s="349"/>
      <c r="AC26" s="349"/>
      <c r="AD26" s="371"/>
      <c r="AE26" s="371"/>
      <c r="AF26" s="371"/>
      <c r="AG26" s="371"/>
      <c r="AH26" s="371"/>
      <c r="AI26" s="371"/>
      <c r="AJ26" s="371"/>
      <c r="AK26" s="371"/>
      <c r="AL26" s="350"/>
      <c r="AM26" s="350"/>
    </row>
    <row r="27" spans="1:121" s="372" customFormat="1" ht="11.25" x14ac:dyDescent="0.2">
      <c r="A27" s="349"/>
      <c r="B27" s="349"/>
      <c r="C27" s="349"/>
      <c r="D27" s="349"/>
      <c r="E27" s="349"/>
      <c r="F27" s="349"/>
      <c r="G27" s="349"/>
      <c r="H27" s="349"/>
      <c r="I27" s="349"/>
      <c r="J27" s="349"/>
      <c r="K27" s="349"/>
      <c r="L27" s="349"/>
      <c r="M27" s="349"/>
      <c r="N27" s="349"/>
      <c r="O27" s="349"/>
      <c r="P27" s="349"/>
      <c r="Q27" s="349"/>
      <c r="R27" s="349"/>
      <c r="S27" s="349"/>
      <c r="T27" s="349"/>
      <c r="U27" s="349"/>
      <c r="V27" s="349"/>
      <c r="W27" s="349"/>
      <c r="X27" s="349"/>
      <c r="Y27" s="349"/>
      <c r="Z27" s="349"/>
      <c r="AA27" s="349"/>
      <c r="AB27" s="349"/>
      <c r="AC27" s="349"/>
      <c r="AD27" s="349"/>
      <c r="AE27" s="349"/>
      <c r="AF27" s="349"/>
      <c r="AG27" s="349"/>
      <c r="AH27" s="349"/>
      <c r="AI27" s="349"/>
      <c r="AJ27" s="349"/>
      <c r="AK27" s="349"/>
    </row>
    <row r="28" spans="1:121" s="372" customFormat="1" ht="11.25" x14ac:dyDescent="0.2">
      <c r="A28" s="349"/>
      <c r="B28" s="349"/>
      <c r="C28" s="349"/>
      <c r="D28" s="349"/>
      <c r="E28" s="349"/>
      <c r="F28" s="349"/>
      <c r="G28" s="349"/>
      <c r="H28" s="349"/>
      <c r="I28" s="349"/>
      <c r="J28" s="349"/>
      <c r="K28" s="349"/>
      <c r="L28" s="349"/>
      <c r="M28" s="349"/>
      <c r="N28" s="349"/>
      <c r="O28" s="349"/>
      <c r="P28" s="349"/>
      <c r="Q28" s="349"/>
      <c r="R28" s="349"/>
      <c r="S28" s="349"/>
      <c r="T28" s="349"/>
      <c r="U28" s="349"/>
      <c r="V28" s="349"/>
      <c r="W28" s="349"/>
      <c r="X28" s="349"/>
      <c r="Y28" s="349"/>
      <c r="Z28" s="349"/>
      <c r="AA28" s="349"/>
      <c r="AB28" s="349"/>
      <c r="AC28" s="349"/>
      <c r="AD28" s="349"/>
      <c r="AE28" s="349"/>
      <c r="AF28" s="349"/>
      <c r="AG28" s="349"/>
      <c r="AH28" s="349"/>
      <c r="AI28" s="349"/>
      <c r="AJ28" s="349"/>
      <c r="AK28" s="349"/>
    </row>
    <row r="29" spans="1:121" s="372" customFormat="1" ht="11.25" x14ac:dyDescent="0.2">
      <c r="A29" s="349"/>
      <c r="B29" s="349"/>
      <c r="C29" s="349"/>
      <c r="D29" s="349"/>
      <c r="E29" s="349"/>
      <c r="F29" s="349"/>
      <c r="G29" s="349"/>
      <c r="H29" s="349"/>
      <c r="I29" s="349"/>
      <c r="J29" s="349"/>
      <c r="K29" s="349"/>
      <c r="L29" s="349"/>
      <c r="M29" s="349"/>
      <c r="N29" s="349"/>
      <c r="O29" s="349"/>
      <c r="P29" s="349"/>
      <c r="Q29" s="349"/>
      <c r="R29" s="349"/>
      <c r="S29" s="349"/>
      <c r="T29" s="349"/>
      <c r="U29" s="349"/>
      <c r="V29" s="349"/>
      <c r="W29" s="349"/>
      <c r="X29" s="349"/>
      <c r="Y29" s="349"/>
      <c r="Z29" s="349"/>
      <c r="AA29" s="349"/>
      <c r="AB29" s="349"/>
      <c r="AC29" s="349"/>
      <c r="AD29" s="349"/>
      <c r="AE29" s="349"/>
      <c r="AF29" s="349"/>
      <c r="AG29" s="349"/>
      <c r="AH29" s="349"/>
      <c r="AI29" s="349"/>
      <c r="AJ29" s="349"/>
      <c r="AK29" s="349"/>
    </row>
    <row r="30" spans="1:121" s="372" customFormat="1" ht="11.25" x14ac:dyDescent="0.2">
      <c r="A30" s="349"/>
      <c r="B30" s="349"/>
      <c r="C30" s="349"/>
      <c r="D30" s="349"/>
      <c r="E30" s="349"/>
      <c r="F30" s="349"/>
      <c r="G30" s="349"/>
      <c r="H30" s="349"/>
      <c r="I30" s="349"/>
      <c r="J30" s="349"/>
      <c r="K30" s="349"/>
      <c r="L30" s="349"/>
      <c r="M30" s="349"/>
      <c r="N30" s="349"/>
      <c r="O30" s="349"/>
      <c r="P30" s="349"/>
      <c r="Q30" s="349"/>
      <c r="R30" s="349"/>
      <c r="S30" s="349"/>
      <c r="T30" s="349"/>
      <c r="U30" s="349"/>
      <c r="V30" s="349"/>
      <c r="W30" s="349"/>
      <c r="X30" s="349"/>
      <c r="Y30" s="349"/>
      <c r="Z30" s="349"/>
      <c r="AA30" s="349"/>
      <c r="AB30" s="349"/>
      <c r="AC30" s="349"/>
      <c r="AD30" s="349"/>
      <c r="AE30" s="349"/>
      <c r="AF30" s="349"/>
      <c r="AG30" s="349"/>
      <c r="AH30" s="349"/>
      <c r="AI30" s="349"/>
      <c r="AJ30" s="349"/>
      <c r="AK30" s="349"/>
    </row>
    <row r="31" spans="1:121" s="372" customFormat="1" ht="11.25" x14ac:dyDescent="0.2">
      <c r="A31" s="349"/>
      <c r="B31" s="349"/>
      <c r="C31" s="349"/>
      <c r="D31" s="349"/>
      <c r="E31" s="349"/>
      <c r="F31" s="349"/>
      <c r="G31" s="349"/>
      <c r="H31" s="349"/>
      <c r="I31" s="349"/>
      <c r="J31" s="349"/>
      <c r="K31" s="349"/>
      <c r="L31" s="349"/>
      <c r="M31" s="349"/>
      <c r="N31" s="349"/>
      <c r="O31" s="349"/>
      <c r="P31" s="349"/>
      <c r="Q31" s="349"/>
      <c r="R31" s="349"/>
      <c r="S31" s="349"/>
      <c r="T31" s="349"/>
      <c r="U31" s="349"/>
      <c r="V31" s="349"/>
      <c r="W31" s="349"/>
      <c r="X31" s="349"/>
      <c r="Y31" s="349"/>
      <c r="Z31" s="349"/>
      <c r="AA31" s="349"/>
      <c r="AB31" s="349"/>
      <c r="AC31" s="349"/>
      <c r="AD31" s="349"/>
      <c r="AE31" s="349"/>
      <c r="AF31" s="349"/>
      <c r="AG31" s="349"/>
      <c r="AH31" s="349"/>
      <c r="AI31" s="349"/>
      <c r="AJ31" s="349"/>
      <c r="AK31" s="349"/>
    </row>
    <row r="32" spans="1:121" s="372" customFormat="1" ht="11.25" x14ac:dyDescent="0.2">
      <c r="A32" s="349"/>
      <c r="B32" s="349"/>
      <c r="C32" s="349"/>
      <c r="D32" s="349"/>
      <c r="E32" s="349"/>
      <c r="F32" s="349"/>
      <c r="G32" s="349"/>
      <c r="H32" s="349"/>
      <c r="I32" s="349"/>
      <c r="J32" s="349"/>
      <c r="K32" s="349"/>
      <c r="L32" s="349"/>
      <c r="M32" s="349"/>
      <c r="N32" s="349"/>
      <c r="O32" s="349"/>
      <c r="P32" s="349"/>
      <c r="Q32" s="349"/>
      <c r="R32" s="349"/>
      <c r="S32" s="349"/>
      <c r="T32" s="349"/>
      <c r="U32" s="349"/>
      <c r="V32" s="349"/>
      <c r="W32" s="349"/>
      <c r="X32" s="349"/>
      <c r="Y32" s="349"/>
      <c r="Z32" s="349"/>
      <c r="AA32" s="349"/>
      <c r="AB32" s="349"/>
      <c r="AC32" s="349"/>
      <c r="AD32" s="349"/>
      <c r="AE32" s="349"/>
      <c r="AF32" s="349"/>
      <c r="AG32" s="349"/>
      <c r="AH32" s="349"/>
      <c r="AI32" s="349"/>
      <c r="AJ32" s="349"/>
      <c r="AK32" s="349"/>
    </row>
    <row r="33" spans="1:37" s="372" customFormat="1" ht="11.25" x14ac:dyDescent="0.2">
      <c r="A33" s="349"/>
      <c r="B33" s="349"/>
      <c r="C33" s="349"/>
      <c r="D33" s="349"/>
      <c r="E33" s="349"/>
      <c r="F33" s="349"/>
      <c r="G33" s="349"/>
      <c r="H33" s="349"/>
      <c r="I33" s="349"/>
      <c r="J33" s="349"/>
      <c r="K33" s="349"/>
      <c r="L33" s="349"/>
      <c r="M33" s="349"/>
      <c r="N33" s="349"/>
      <c r="O33" s="349"/>
      <c r="P33" s="349"/>
      <c r="Q33" s="349"/>
      <c r="R33" s="349"/>
      <c r="S33" s="349"/>
      <c r="T33" s="349"/>
      <c r="U33" s="349"/>
      <c r="V33" s="349"/>
      <c r="W33" s="349"/>
      <c r="X33" s="349"/>
      <c r="Y33" s="349"/>
      <c r="Z33" s="349"/>
      <c r="AA33" s="349"/>
      <c r="AB33" s="349"/>
      <c r="AC33" s="349"/>
      <c r="AD33" s="349"/>
      <c r="AE33" s="349"/>
      <c r="AF33" s="349"/>
      <c r="AG33" s="349"/>
      <c r="AH33" s="349"/>
      <c r="AI33" s="349"/>
      <c r="AJ33" s="349"/>
      <c r="AK33" s="349"/>
    </row>
    <row r="34" spans="1:37" s="372" customFormat="1" ht="11.25" x14ac:dyDescent="0.2">
      <c r="A34" s="349"/>
      <c r="B34" s="349"/>
      <c r="C34" s="349"/>
      <c r="D34" s="349"/>
      <c r="E34" s="349"/>
      <c r="F34" s="349"/>
      <c r="G34" s="349"/>
      <c r="H34" s="349"/>
      <c r="I34" s="349"/>
      <c r="J34" s="349"/>
      <c r="K34" s="349"/>
      <c r="L34" s="349"/>
      <c r="M34" s="349"/>
      <c r="N34" s="349"/>
      <c r="O34" s="349"/>
      <c r="P34" s="349"/>
      <c r="Q34" s="349"/>
      <c r="R34" s="349"/>
      <c r="S34" s="349"/>
      <c r="T34" s="349"/>
      <c r="U34" s="349"/>
      <c r="V34" s="349"/>
      <c r="W34" s="349"/>
      <c r="X34" s="349"/>
      <c r="Y34" s="349"/>
      <c r="Z34" s="349"/>
      <c r="AA34" s="349"/>
      <c r="AB34" s="349"/>
      <c r="AC34" s="349"/>
      <c r="AD34" s="349"/>
      <c r="AE34" s="349"/>
      <c r="AF34" s="349"/>
      <c r="AG34" s="349"/>
      <c r="AH34" s="349"/>
      <c r="AI34" s="349"/>
      <c r="AJ34" s="349"/>
      <c r="AK34" s="349"/>
    </row>
    <row r="35" spans="1:37" s="372" customFormat="1" ht="11.25" x14ac:dyDescent="0.2">
      <c r="A35" s="349"/>
      <c r="B35" s="349"/>
      <c r="C35" s="349"/>
      <c r="D35" s="349"/>
      <c r="E35" s="349"/>
      <c r="F35" s="349"/>
      <c r="G35" s="349"/>
      <c r="H35" s="349"/>
      <c r="I35" s="349"/>
      <c r="J35" s="349"/>
      <c r="K35" s="349"/>
      <c r="L35" s="349"/>
      <c r="M35" s="349"/>
      <c r="N35" s="349"/>
      <c r="O35" s="349"/>
      <c r="P35" s="349"/>
      <c r="Q35" s="349"/>
      <c r="R35" s="349"/>
      <c r="S35" s="349"/>
      <c r="T35" s="349"/>
      <c r="U35" s="349"/>
      <c r="V35" s="349"/>
      <c r="W35" s="349"/>
      <c r="X35" s="349"/>
      <c r="Y35" s="349"/>
      <c r="Z35" s="349"/>
      <c r="AA35" s="349"/>
      <c r="AB35" s="349"/>
      <c r="AC35" s="349"/>
      <c r="AD35" s="349"/>
      <c r="AE35" s="349"/>
      <c r="AF35" s="349"/>
      <c r="AG35" s="349"/>
      <c r="AH35" s="349"/>
      <c r="AI35" s="349"/>
      <c r="AJ35" s="349"/>
      <c r="AK35" s="349"/>
    </row>
    <row r="36" spans="1:37" s="372" customFormat="1" ht="11.25" x14ac:dyDescent="0.2">
      <c r="A36" s="349"/>
      <c r="B36" s="349"/>
      <c r="C36" s="349"/>
      <c r="D36" s="349"/>
      <c r="E36" s="349"/>
      <c r="F36" s="349"/>
      <c r="G36" s="349"/>
      <c r="H36" s="349"/>
      <c r="I36" s="349"/>
      <c r="J36" s="349"/>
      <c r="K36" s="349"/>
      <c r="L36" s="349"/>
      <c r="M36" s="349"/>
      <c r="N36" s="349"/>
      <c r="O36" s="349"/>
      <c r="P36" s="349"/>
      <c r="Q36" s="349"/>
      <c r="R36" s="349"/>
      <c r="S36" s="349"/>
      <c r="T36" s="349"/>
      <c r="U36" s="349"/>
      <c r="V36" s="349"/>
      <c r="W36" s="349"/>
      <c r="X36" s="349"/>
      <c r="Y36" s="349"/>
      <c r="Z36" s="349"/>
      <c r="AA36" s="349"/>
      <c r="AB36" s="349"/>
      <c r="AC36" s="349"/>
      <c r="AD36" s="349"/>
      <c r="AE36" s="349"/>
      <c r="AF36" s="349"/>
      <c r="AG36" s="349"/>
      <c r="AH36" s="349"/>
      <c r="AI36" s="349"/>
      <c r="AJ36" s="349"/>
      <c r="AK36" s="349"/>
    </row>
    <row r="37" spans="1:37" s="372" customFormat="1" ht="11.25" x14ac:dyDescent="0.2">
      <c r="A37" s="349"/>
      <c r="B37" s="349"/>
      <c r="C37" s="349"/>
      <c r="D37" s="349"/>
      <c r="E37" s="349"/>
      <c r="F37" s="349"/>
      <c r="G37" s="349"/>
      <c r="H37" s="349"/>
      <c r="I37" s="349"/>
      <c r="J37" s="349"/>
      <c r="K37" s="349"/>
      <c r="L37" s="349"/>
      <c r="M37" s="349"/>
      <c r="N37" s="349"/>
      <c r="O37" s="349"/>
      <c r="P37" s="349"/>
      <c r="Q37" s="349"/>
      <c r="R37" s="349"/>
      <c r="S37" s="349"/>
      <c r="T37" s="349"/>
      <c r="U37" s="349"/>
      <c r="V37" s="349"/>
      <c r="W37" s="349"/>
      <c r="X37" s="349"/>
      <c r="Y37" s="349"/>
      <c r="Z37" s="349"/>
      <c r="AA37" s="349"/>
      <c r="AB37" s="349"/>
      <c r="AC37" s="349"/>
      <c r="AD37" s="349"/>
      <c r="AE37" s="349"/>
      <c r="AF37" s="349"/>
      <c r="AG37" s="349"/>
      <c r="AH37" s="349"/>
      <c r="AI37" s="349"/>
      <c r="AJ37" s="349"/>
      <c r="AK37" s="349"/>
    </row>
    <row r="38" spans="1:37" s="372" customFormat="1" ht="11.25" x14ac:dyDescent="0.2">
      <c r="A38" s="349"/>
      <c r="B38" s="349"/>
      <c r="C38" s="349"/>
      <c r="D38" s="349"/>
      <c r="E38" s="349"/>
      <c r="F38" s="349"/>
      <c r="G38" s="349"/>
      <c r="H38" s="349"/>
      <c r="I38" s="349"/>
      <c r="J38" s="349"/>
      <c r="K38" s="349"/>
      <c r="L38" s="349"/>
      <c r="M38" s="349"/>
      <c r="N38" s="349"/>
      <c r="O38" s="349"/>
      <c r="P38" s="349"/>
      <c r="Q38" s="349"/>
      <c r="R38" s="349"/>
      <c r="S38" s="349"/>
      <c r="T38" s="349"/>
      <c r="U38" s="349"/>
      <c r="V38" s="349"/>
      <c r="W38" s="349"/>
      <c r="X38" s="349"/>
      <c r="Y38" s="349"/>
      <c r="Z38" s="349"/>
      <c r="AA38" s="349"/>
      <c r="AB38" s="349"/>
      <c r="AC38" s="349"/>
      <c r="AD38" s="349"/>
      <c r="AE38" s="349"/>
      <c r="AF38" s="349"/>
      <c r="AG38" s="349"/>
      <c r="AH38" s="349"/>
      <c r="AI38" s="349"/>
      <c r="AJ38" s="349"/>
      <c r="AK38" s="349"/>
    </row>
    <row r="39" spans="1:37" s="372" customFormat="1" ht="11.25" x14ac:dyDescent="0.2">
      <c r="A39" s="349"/>
      <c r="B39" s="349"/>
      <c r="C39" s="349"/>
      <c r="D39" s="349"/>
      <c r="E39" s="349"/>
      <c r="F39" s="349"/>
      <c r="G39" s="349"/>
      <c r="H39" s="349"/>
      <c r="I39" s="349"/>
      <c r="J39" s="349"/>
      <c r="K39" s="349"/>
      <c r="L39" s="349"/>
      <c r="M39" s="349"/>
      <c r="N39" s="349"/>
      <c r="O39" s="349"/>
      <c r="P39" s="349"/>
      <c r="Q39" s="349"/>
      <c r="R39" s="349"/>
      <c r="S39" s="349"/>
      <c r="T39" s="349"/>
      <c r="U39" s="349"/>
      <c r="V39" s="349"/>
      <c r="W39" s="349"/>
      <c r="X39" s="349"/>
      <c r="Y39" s="349"/>
      <c r="Z39" s="349"/>
      <c r="AA39" s="349"/>
      <c r="AB39" s="349"/>
      <c r="AC39" s="349"/>
      <c r="AD39" s="349"/>
      <c r="AE39" s="349"/>
      <c r="AF39" s="349"/>
      <c r="AG39" s="349"/>
      <c r="AH39" s="349"/>
      <c r="AI39" s="349"/>
      <c r="AJ39" s="349"/>
      <c r="AK39" s="349"/>
    </row>
    <row r="40" spans="1:37" s="372" customFormat="1" ht="11.25" x14ac:dyDescent="0.2">
      <c r="A40" s="349"/>
      <c r="B40" s="349"/>
      <c r="C40" s="349"/>
      <c r="D40" s="349"/>
      <c r="E40" s="349"/>
      <c r="F40" s="349"/>
      <c r="G40" s="349"/>
      <c r="H40" s="349"/>
      <c r="I40" s="349"/>
      <c r="J40" s="349"/>
      <c r="K40" s="349"/>
      <c r="L40" s="349"/>
      <c r="M40" s="349"/>
      <c r="N40" s="349"/>
      <c r="O40" s="349"/>
      <c r="P40" s="349"/>
      <c r="Q40" s="349"/>
      <c r="R40" s="349"/>
      <c r="S40" s="349"/>
      <c r="T40" s="349"/>
      <c r="U40" s="349"/>
      <c r="V40" s="349"/>
      <c r="W40" s="349"/>
      <c r="X40" s="349"/>
      <c r="Y40" s="349"/>
      <c r="Z40" s="349"/>
      <c r="AA40" s="349"/>
      <c r="AB40" s="349"/>
      <c r="AC40" s="349"/>
      <c r="AD40" s="349"/>
      <c r="AE40" s="349"/>
      <c r="AF40" s="349"/>
      <c r="AG40" s="349"/>
      <c r="AH40" s="349"/>
      <c r="AI40" s="349"/>
      <c r="AJ40" s="349"/>
      <c r="AK40" s="349"/>
    </row>
    <row r="41" spans="1:37" s="372" customFormat="1" ht="11.25" x14ac:dyDescent="0.2">
      <c r="A41" s="349"/>
      <c r="B41" s="349"/>
      <c r="C41" s="349"/>
      <c r="D41" s="349"/>
      <c r="E41" s="349"/>
      <c r="F41" s="349"/>
      <c r="G41" s="349"/>
      <c r="H41" s="349"/>
      <c r="I41" s="349"/>
      <c r="J41" s="349"/>
      <c r="K41" s="349"/>
      <c r="L41" s="349"/>
      <c r="M41" s="349"/>
      <c r="N41" s="349"/>
      <c r="O41" s="349"/>
      <c r="P41" s="349"/>
      <c r="Q41" s="349"/>
      <c r="R41" s="349"/>
      <c r="S41" s="349"/>
      <c r="T41" s="349"/>
      <c r="U41" s="349"/>
      <c r="V41" s="349"/>
      <c r="W41" s="349"/>
      <c r="X41" s="349"/>
      <c r="Y41" s="349"/>
      <c r="Z41" s="349"/>
      <c r="AA41" s="349"/>
      <c r="AB41" s="349"/>
      <c r="AC41" s="349"/>
      <c r="AD41" s="349"/>
      <c r="AE41" s="349"/>
      <c r="AF41" s="349"/>
      <c r="AG41" s="349"/>
      <c r="AH41" s="349"/>
      <c r="AI41" s="349"/>
      <c r="AJ41" s="349"/>
      <c r="AK41" s="349"/>
    </row>
    <row r="42" spans="1:37" s="372" customFormat="1" ht="11.25" x14ac:dyDescent="0.2">
      <c r="A42" s="349"/>
      <c r="B42" s="349"/>
      <c r="C42" s="349"/>
      <c r="D42" s="349"/>
      <c r="E42" s="349"/>
      <c r="F42" s="349"/>
      <c r="G42" s="349"/>
      <c r="H42" s="349"/>
      <c r="I42" s="349"/>
      <c r="J42" s="349"/>
      <c r="K42" s="349"/>
      <c r="L42" s="349"/>
      <c r="M42" s="349"/>
      <c r="N42" s="349"/>
      <c r="O42" s="349"/>
      <c r="P42" s="349"/>
      <c r="Q42" s="349"/>
      <c r="R42" s="349"/>
      <c r="S42" s="349"/>
      <c r="T42" s="349"/>
      <c r="U42" s="349"/>
      <c r="V42" s="349"/>
      <c r="W42" s="349"/>
      <c r="X42" s="349"/>
      <c r="Y42" s="349"/>
      <c r="Z42" s="349"/>
      <c r="AA42" s="349"/>
      <c r="AB42" s="349"/>
      <c r="AC42" s="349"/>
      <c r="AD42" s="349"/>
      <c r="AE42" s="349"/>
      <c r="AF42" s="349"/>
      <c r="AG42" s="349"/>
      <c r="AH42" s="349"/>
      <c r="AI42" s="349"/>
      <c r="AJ42" s="349"/>
      <c r="AK42" s="349"/>
    </row>
    <row r="43" spans="1:37" s="372" customFormat="1" ht="11.25" x14ac:dyDescent="0.2">
      <c r="A43" s="349"/>
      <c r="B43" s="349"/>
      <c r="C43" s="349"/>
      <c r="D43" s="349"/>
      <c r="E43" s="349"/>
      <c r="F43" s="349"/>
      <c r="G43" s="349"/>
      <c r="H43" s="349"/>
      <c r="I43" s="349"/>
      <c r="J43" s="349"/>
      <c r="K43" s="349"/>
      <c r="L43" s="349"/>
      <c r="M43" s="349"/>
      <c r="N43" s="349"/>
      <c r="O43" s="349"/>
      <c r="P43" s="349"/>
      <c r="Q43" s="349"/>
      <c r="R43" s="349"/>
      <c r="S43" s="349"/>
      <c r="T43" s="349"/>
      <c r="U43" s="349"/>
      <c r="V43" s="349"/>
      <c r="W43" s="349"/>
      <c r="X43" s="349"/>
      <c r="Y43" s="349"/>
      <c r="Z43" s="349"/>
      <c r="AA43" s="349"/>
      <c r="AB43" s="349"/>
      <c r="AC43" s="349"/>
      <c r="AD43" s="349"/>
      <c r="AE43" s="349"/>
      <c r="AF43" s="349"/>
      <c r="AG43" s="349"/>
      <c r="AH43" s="349"/>
      <c r="AI43" s="349"/>
      <c r="AJ43" s="349"/>
      <c r="AK43" s="349"/>
    </row>
    <row r="44" spans="1:37" s="372" customFormat="1" ht="11.25" x14ac:dyDescent="0.2">
      <c r="A44" s="349"/>
      <c r="B44" s="349"/>
      <c r="C44" s="349"/>
      <c r="D44" s="349"/>
      <c r="E44" s="349"/>
      <c r="F44" s="349"/>
      <c r="G44" s="349"/>
      <c r="H44" s="349"/>
      <c r="I44" s="349"/>
      <c r="J44" s="349"/>
      <c r="K44" s="349"/>
      <c r="L44" s="349"/>
      <c r="M44" s="349"/>
      <c r="N44" s="349"/>
      <c r="O44" s="349"/>
      <c r="P44" s="349"/>
      <c r="Q44" s="349"/>
      <c r="R44" s="349"/>
      <c r="S44" s="349"/>
      <c r="T44" s="349"/>
      <c r="U44" s="349"/>
      <c r="V44" s="349"/>
      <c r="W44" s="349"/>
      <c r="X44" s="349"/>
      <c r="Y44" s="349"/>
      <c r="Z44" s="349"/>
      <c r="AA44" s="349"/>
      <c r="AB44" s="349"/>
      <c r="AC44" s="349"/>
      <c r="AD44" s="349"/>
      <c r="AE44" s="349"/>
      <c r="AF44" s="349"/>
      <c r="AG44" s="349"/>
      <c r="AH44" s="349"/>
      <c r="AI44" s="349"/>
      <c r="AJ44" s="349"/>
      <c r="AK44" s="349"/>
    </row>
    <row r="45" spans="1:37" s="372" customFormat="1" ht="11.25" x14ac:dyDescent="0.2">
      <c r="A45" s="349"/>
      <c r="B45" s="349"/>
      <c r="C45" s="349"/>
      <c r="D45" s="349"/>
      <c r="E45" s="349"/>
      <c r="F45" s="349"/>
      <c r="G45" s="349"/>
      <c r="H45" s="349"/>
      <c r="I45" s="349"/>
      <c r="J45" s="349"/>
      <c r="K45" s="349"/>
      <c r="L45" s="349"/>
      <c r="M45" s="349"/>
      <c r="N45" s="349"/>
      <c r="O45" s="349"/>
      <c r="P45" s="349"/>
      <c r="Q45" s="349"/>
      <c r="R45" s="349"/>
      <c r="S45" s="349"/>
      <c r="T45" s="349"/>
      <c r="U45" s="349"/>
      <c r="V45" s="349"/>
      <c r="W45" s="349"/>
      <c r="X45" s="349"/>
      <c r="Y45" s="349"/>
      <c r="Z45" s="349"/>
      <c r="AA45" s="349"/>
      <c r="AB45" s="349"/>
      <c r="AC45" s="349"/>
      <c r="AD45" s="349"/>
      <c r="AE45" s="349"/>
      <c r="AF45" s="349"/>
      <c r="AG45" s="349"/>
      <c r="AH45" s="349"/>
      <c r="AI45" s="349"/>
      <c r="AJ45" s="349"/>
      <c r="AK45" s="349"/>
    </row>
    <row r="46" spans="1:37" s="372" customFormat="1" ht="11.25" x14ac:dyDescent="0.2">
      <c r="A46" s="349"/>
      <c r="B46" s="349"/>
      <c r="C46" s="349"/>
      <c r="D46" s="349"/>
      <c r="E46" s="349"/>
      <c r="F46" s="349"/>
      <c r="G46" s="349"/>
      <c r="H46" s="349"/>
      <c r="I46" s="349"/>
      <c r="J46" s="349"/>
      <c r="K46" s="349"/>
      <c r="L46" s="349"/>
      <c r="M46" s="349"/>
      <c r="N46" s="349"/>
      <c r="O46" s="349"/>
      <c r="P46" s="349"/>
      <c r="Q46" s="349"/>
      <c r="R46" s="349"/>
      <c r="S46" s="349"/>
      <c r="T46" s="349"/>
      <c r="U46" s="349"/>
      <c r="V46" s="349"/>
      <c r="W46" s="349"/>
      <c r="X46" s="349"/>
      <c r="Y46" s="349"/>
      <c r="Z46" s="349"/>
      <c r="AA46" s="349"/>
      <c r="AB46" s="349"/>
      <c r="AC46" s="349"/>
      <c r="AD46" s="349"/>
      <c r="AE46" s="349"/>
      <c r="AF46" s="349"/>
      <c r="AG46" s="349"/>
      <c r="AH46" s="349"/>
      <c r="AI46" s="349"/>
      <c r="AJ46" s="349"/>
      <c r="AK46" s="349"/>
    </row>
    <row r="47" spans="1:37" s="372" customFormat="1" ht="11.25" x14ac:dyDescent="0.2">
      <c r="A47" s="349"/>
      <c r="B47" s="349"/>
      <c r="C47" s="349"/>
      <c r="D47" s="349"/>
      <c r="E47" s="349"/>
      <c r="F47" s="349"/>
      <c r="G47" s="349"/>
      <c r="H47" s="349"/>
      <c r="I47" s="349"/>
      <c r="J47" s="349"/>
      <c r="K47" s="349"/>
      <c r="L47" s="349"/>
      <c r="M47" s="349"/>
      <c r="N47" s="349"/>
      <c r="O47" s="349"/>
      <c r="P47" s="349"/>
      <c r="Q47" s="349"/>
      <c r="R47" s="349"/>
      <c r="S47" s="349"/>
      <c r="T47" s="349"/>
      <c r="U47" s="349"/>
      <c r="V47" s="349"/>
      <c r="W47" s="349"/>
      <c r="X47" s="349"/>
      <c r="Y47" s="349"/>
      <c r="Z47" s="349"/>
      <c r="AA47" s="349"/>
      <c r="AB47" s="349"/>
      <c r="AC47" s="349"/>
      <c r="AD47" s="349"/>
      <c r="AE47" s="349"/>
      <c r="AF47" s="349"/>
      <c r="AG47" s="349"/>
      <c r="AH47" s="349"/>
      <c r="AI47" s="349"/>
      <c r="AJ47" s="349"/>
      <c r="AK47" s="349"/>
    </row>
    <row r="48" spans="1:37" s="372" customFormat="1" ht="11.25" x14ac:dyDescent="0.2">
      <c r="A48" s="349"/>
      <c r="B48" s="349"/>
      <c r="C48" s="349"/>
      <c r="D48" s="349"/>
      <c r="E48" s="349"/>
      <c r="F48" s="349"/>
      <c r="G48" s="349"/>
      <c r="H48" s="349"/>
      <c r="I48" s="349"/>
      <c r="J48" s="349"/>
      <c r="K48" s="349"/>
      <c r="L48" s="349"/>
      <c r="M48" s="349"/>
      <c r="N48" s="349"/>
      <c r="O48" s="349"/>
      <c r="P48" s="349"/>
      <c r="Q48" s="349"/>
      <c r="R48" s="349"/>
      <c r="S48" s="349"/>
      <c r="T48" s="349"/>
      <c r="U48" s="349"/>
      <c r="V48" s="349"/>
      <c r="W48" s="349"/>
      <c r="X48" s="349"/>
      <c r="Y48" s="349"/>
      <c r="Z48" s="349"/>
      <c r="AA48" s="349"/>
      <c r="AB48" s="349"/>
      <c r="AC48" s="349"/>
      <c r="AD48" s="349"/>
      <c r="AE48" s="349"/>
      <c r="AF48" s="349"/>
      <c r="AG48" s="349"/>
      <c r="AH48" s="349"/>
      <c r="AI48" s="349"/>
      <c r="AJ48" s="349"/>
      <c r="AK48" s="349"/>
    </row>
    <row r="49" spans="1:37" s="372" customFormat="1" ht="11.25" x14ac:dyDescent="0.2">
      <c r="A49" s="349"/>
      <c r="B49" s="349"/>
      <c r="C49" s="349"/>
      <c r="D49" s="349"/>
      <c r="E49" s="349"/>
      <c r="F49" s="349"/>
      <c r="G49" s="349"/>
      <c r="H49" s="349"/>
      <c r="I49" s="349"/>
      <c r="J49" s="349"/>
      <c r="K49" s="349"/>
      <c r="L49" s="349"/>
      <c r="M49" s="349"/>
      <c r="N49" s="349"/>
      <c r="O49" s="349"/>
      <c r="P49" s="349"/>
      <c r="Q49" s="349"/>
      <c r="R49" s="349"/>
      <c r="S49" s="349"/>
      <c r="T49" s="349"/>
      <c r="U49" s="349"/>
      <c r="V49" s="349"/>
      <c r="W49" s="349"/>
      <c r="X49" s="349"/>
      <c r="Y49" s="349"/>
      <c r="Z49" s="349"/>
      <c r="AA49" s="349"/>
      <c r="AB49" s="349"/>
      <c r="AC49" s="349"/>
      <c r="AD49" s="349"/>
      <c r="AE49" s="349"/>
      <c r="AF49" s="349"/>
      <c r="AG49" s="349"/>
      <c r="AH49" s="349"/>
      <c r="AI49" s="349"/>
      <c r="AJ49" s="349"/>
      <c r="AK49" s="349"/>
    </row>
    <row r="50" spans="1:37" s="372" customFormat="1" ht="11.25" x14ac:dyDescent="0.2">
      <c r="A50" s="349"/>
      <c r="B50" s="349"/>
      <c r="C50" s="349"/>
      <c r="D50" s="349"/>
      <c r="E50" s="349"/>
      <c r="F50" s="349"/>
      <c r="G50" s="349"/>
      <c r="H50" s="349"/>
      <c r="I50" s="349"/>
      <c r="J50" s="349"/>
      <c r="K50" s="349"/>
      <c r="L50" s="349"/>
      <c r="M50" s="349"/>
      <c r="N50" s="349"/>
      <c r="O50" s="349"/>
      <c r="P50" s="349"/>
      <c r="Q50" s="349"/>
      <c r="R50" s="349"/>
      <c r="S50" s="349"/>
      <c r="T50" s="349"/>
      <c r="U50" s="349"/>
      <c r="V50" s="349"/>
      <c r="W50" s="349"/>
      <c r="X50" s="349"/>
      <c r="Y50" s="349"/>
      <c r="Z50" s="349"/>
      <c r="AA50" s="349"/>
      <c r="AB50" s="349"/>
      <c r="AC50" s="349"/>
      <c r="AD50" s="349"/>
      <c r="AE50" s="349"/>
      <c r="AF50" s="349"/>
      <c r="AG50" s="349"/>
      <c r="AH50" s="349"/>
      <c r="AI50" s="349"/>
      <c r="AJ50" s="349"/>
      <c r="AK50" s="349"/>
    </row>
    <row r="51" spans="1:37" s="372" customFormat="1" ht="11.25" x14ac:dyDescent="0.2">
      <c r="A51" s="349"/>
      <c r="B51" s="349"/>
      <c r="C51" s="349"/>
      <c r="D51" s="349"/>
      <c r="E51" s="349"/>
      <c r="F51" s="349"/>
      <c r="G51" s="349"/>
      <c r="H51" s="349"/>
      <c r="I51" s="349"/>
      <c r="J51" s="349"/>
      <c r="K51" s="349"/>
      <c r="L51" s="349"/>
      <c r="M51" s="349"/>
      <c r="N51" s="349"/>
      <c r="O51" s="349"/>
      <c r="P51" s="349"/>
      <c r="Q51" s="349"/>
      <c r="R51" s="349"/>
      <c r="S51" s="349"/>
      <c r="T51" s="349"/>
      <c r="U51" s="349"/>
      <c r="V51" s="349"/>
      <c r="W51" s="349"/>
      <c r="X51" s="349"/>
      <c r="Y51" s="349"/>
      <c r="Z51" s="349"/>
      <c r="AA51" s="349"/>
      <c r="AB51" s="349"/>
      <c r="AC51" s="349"/>
      <c r="AD51" s="349"/>
      <c r="AE51" s="349"/>
      <c r="AF51" s="349"/>
      <c r="AG51" s="349"/>
      <c r="AH51" s="349"/>
      <c r="AI51" s="349"/>
      <c r="AJ51" s="349"/>
      <c r="AK51" s="349"/>
    </row>
    <row r="52" spans="1:37" s="372" customFormat="1" ht="11.25" x14ac:dyDescent="0.2">
      <c r="A52" s="349"/>
      <c r="B52" s="349"/>
      <c r="C52" s="349"/>
      <c r="D52" s="349"/>
      <c r="E52" s="349"/>
      <c r="F52" s="349"/>
      <c r="G52" s="349"/>
      <c r="H52" s="349"/>
      <c r="I52" s="349"/>
      <c r="J52" s="349"/>
      <c r="K52" s="349"/>
      <c r="L52" s="349"/>
      <c r="M52" s="349"/>
      <c r="N52" s="349"/>
      <c r="O52" s="349"/>
      <c r="P52" s="349"/>
      <c r="Q52" s="349"/>
      <c r="R52" s="349"/>
      <c r="S52" s="349"/>
      <c r="T52" s="349"/>
      <c r="U52" s="349"/>
      <c r="V52" s="349"/>
      <c r="W52" s="349"/>
      <c r="X52" s="349"/>
      <c r="Y52" s="349"/>
      <c r="Z52" s="349"/>
      <c r="AA52" s="349"/>
      <c r="AB52" s="349"/>
      <c r="AC52" s="349"/>
      <c r="AD52" s="349"/>
      <c r="AE52" s="349"/>
      <c r="AF52" s="349"/>
      <c r="AG52" s="349"/>
      <c r="AH52" s="349"/>
      <c r="AI52" s="349"/>
      <c r="AJ52" s="349"/>
      <c r="AK52" s="349"/>
    </row>
    <row r="53" spans="1:37" s="372" customFormat="1" ht="11.25" x14ac:dyDescent="0.2">
      <c r="A53" s="349"/>
      <c r="B53" s="349"/>
      <c r="C53" s="349"/>
      <c r="D53" s="349"/>
      <c r="E53" s="349"/>
      <c r="F53" s="349"/>
      <c r="G53" s="349"/>
      <c r="H53" s="349"/>
      <c r="I53" s="349"/>
      <c r="J53" s="349"/>
      <c r="K53" s="349"/>
      <c r="L53" s="349"/>
      <c r="M53" s="349"/>
      <c r="N53" s="349"/>
      <c r="O53" s="349"/>
      <c r="P53" s="349"/>
      <c r="Q53" s="349"/>
      <c r="R53" s="349"/>
      <c r="S53" s="349"/>
      <c r="T53" s="349"/>
      <c r="U53" s="349"/>
      <c r="V53" s="349"/>
      <c r="W53" s="349"/>
      <c r="X53" s="349"/>
      <c r="Y53" s="349"/>
      <c r="Z53" s="349"/>
      <c r="AA53" s="349"/>
      <c r="AB53" s="349"/>
      <c r="AC53" s="349"/>
      <c r="AD53" s="349"/>
      <c r="AE53" s="349"/>
      <c r="AF53" s="349"/>
      <c r="AG53" s="349"/>
      <c r="AH53" s="349"/>
      <c r="AI53" s="349"/>
      <c r="AJ53" s="349"/>
      <c r="AK53" s="349"/>
    </row>
    <row r="54" spans="1:37" s="372" customFormat="1" ht="11.25" x14ac:dyDescent="0.2">
      <c r="A54" s="349"/>
      <c r="B54" s="349"/>
      <c r="C54" s="349"/>
      <c r="D54" s="349"/>
      <c r="E54" s="349"/>
      <c r="F54" s="349"/>
      <c r="G54" s="349"/>
      <c r="H54" s="349"/>
      <c r="I54" s="349"/>
      <c r="J54" s="349"/>
      <c r="K54" s="349"/>
      <c r="L54" s="349"/>
      <c r="M54" s="349"/>
      <c r="N54" s="349"/>
      <c r="O54" s="349"/>
      <c r="P54" s="349"/>
      <c r="Q54" s="349"/>
      <c r="R54" s="349"/>
      <c r="S54" s="349"/>
      <c r="T54" s="349"/>
      <c r="U54" s="349"/>
      <c r="V54" s="349"/>
      <c r="W54" s="349"/>
      <c r="X54" s="349"/>
      <c r="Y54" s="349"/>
      <c r="Z54" s="349"/>
      <c r="AA54" s="349"/>
      <c r="AB54" s="349"/>
      <c r="AC54" s="349"/>
      <c r="AD54" s="349"/>
      <c r="AE54" s="349"/>
      <c r="AF54" s="349"/>
      <c r="AG54" s="349"/>
      <c r="AH54" s="349"/>
      <c r="AI54" s="349"/>
      <c r="AJ54" s="349"/>
      <c r="AK54" s="349"/>
    </row>
    <row r="55" spans="1:37" s="372" customFormat="1" ht="11.25" x14ac:dyDescent="0.2">
      <c r="A55" s="349"/>
      <c r="B55" s="349"/>
      <c r="C55" s="349"/>
      <c r="D55" s="349"/>
      <c r="E55" s="349"/>
      <c r="F55" s="349"/>
      <c r="G55" s="349"/>
      <c r="H55" s="349"/>
      <c r="I55" s="349"/>
      <c r="J55" s="349"/>
      <c r="K55" s="349"/>
      <c r="L55" s="349"/>
      <c r="M55" s="349"/>
      <c r="N55" s="349"/>
      <c r="O55" s="349"/>
      <c r="P55" s="349"/>
      <c r="Q55" s="349"/>
      <c r="R55" s="349"/>
      <c r="S55" s="349"/>
      <c r="T55" s="349"/>
      <c r="U55" s="349"/>
      <c r="V55" s="349"/>
      <c r="W55" s="349"/>
      <c r="X55" s="349"/>
      <c r="Y55" s="349"/>
      <c r="Z55" s="349"/>
      <c r="AA55" s="349"/>
      <c r="AB55" s="349"/>
      <c r="AC55" s="349"/>
      <c r="AD55" s="349"/>
      <c r="AE55" s="349"/>
      <c r="AF55" s="349"/>
      <c r="AG55" s="349"/>
      <c r="AH55" s="349"/>
      <c r="AI55" s="349"/>
      <c r="AJ55" s="349"/>
      <c r="AK55" s="349"/>
    </row>
    <row r="56" spans="1:37" s="372" customFormat="1" ht="11.25" x14ac:dyDescent="0.2">
      <c r="A56" s="349"/>
      <c r="B56" s="349"/>
      <c r="C56" s="349"/>
      <c r="D56" s="349"/>
      <c r="E56" s="349"/>
      <c r="F56" s="349"/>
      <c r="G56" s="349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49"/>
      <c r="AE56" s="349"/>
      <c r="AF56" s="349"/>
      <c r="AG56" s="349"/>
      <c r="AH56" s="349"/>
      <c r="AI56" s="349"/>
      <c r="AJ56" s="349"/>
      <c r="AK56" s="349"/>
    </row>
    <row r="57" spans="1:37" s="372" customFormat="1" ht="11.25" x14ac:dyDescent="0.2">
      <c r="A57" s="349"/>
      <c r="B57" s="349"/>
      <c r="C57" s="349"/>
      <c r="D57" s="349"/>
      <c r="E57" s="349"/>
      <c r="F57" s="349"/>
      <c r="G57" s="349"/>
      <c r="H57" s="349"/>
      <c r="I57" s="349"/>
      <c r="J57" s="349"/>
      <c r="K57" s="349"/>
      <c r="L57" s="349"/>
      <c r="M57" s="349"/>
      <c r="N57" s="349"/>
      <c r="O57" s="349"/>
      <c r="P57" s="349"/>
      <c r="Q57" s="349"/>
      <c r="R57" s="349"/>
      <c r="S57" s="349"/>
      <c r="T57" s="349"/>
      <c r="U57" s="349"/>
      <c r="V57" s="349"/>
      <c r="W57" s="349"/>
      <c r="X57" s="349"/>
      <c r="Y57" s="349"/>
      <c r="Z57" s="349"/>
      <c r="AA57" s="349"/>
      <c r="AB57" s="349"/>
      <c r="AC57" s="349"/>
      <c r="AD57" s="349"/>
      <c r="AE57" s="349"/>
      <c r="AF57" s="349"/>
      <c r="AG57" s="349"/>
      <c r="AH57" s="349"/>
      <c r="AI57" s="349"/>
      <c r="AJ57" s="349"/>
      <c r="AK57" s="349"/>
    </row>
    <row r="58" spans="1:37" s="372" customFormat="1" ht="11.25" x14ac:dyDescent="0.2">
      <c r="A58" s="349"/>
      <c r="B58" s="349"/>
      <c r="C58" s="349"/>
      <c r="D58" s="349"/>
      <c r="E58" s="349"/>
      <c r="F58" s="349"/>
      <c r="G58" s="349"/>
      <c r="H58" s="349"/>
      <c r="I58" s="349"/>
      <c r="J58" s="349"/>
      <c r="K58" s="349"/>
      <c r="L58" s="349"/>
      <c r="M58" s="349"/>
      <c r="N58" s="349"/>
      <c r="O58" s="349"/>
      <c r="P58" s="349"/>
      <c r="Q58" s="349"/>
      <c r="R58" s="349"/>
      <c r="S58" s="349"/>
      <c r="T58" s="349"/>
      <c r="U58" s="349"/>
      <c r="V58" s="349"/>
      <c r="W58" s="349"/>
      <c r="X58" s="349"/>
      <c r="Y58" s="349"/>
      <c r="Z58" s="349"/>
      <c r="AA58" s="349"/>
      <c r="AB58" s="349"/>
      <c r="AC58" s="349"/>
      <c r="AD58" s="349"/>
      <c r="AE58" s="349"/>
      <c r="AF58" s="349"/>
      <c r="AG58" s="349"/>
      <c r="AH58" s="349"/>
      <c r="AI58" s="349"/>
      <c r="AJ58" s="349"/>
      <c r="AK58" s="349"/>
    </row>
    <row r="59" spans="1:37" s="372" customFormat="1" ht="11.25" x14ac:dyDescent="0.2">
      <c r="A59" s="349"/>
      <c r="B59" s="349"/>
      <c r="C59" s="349"/>
      <c r="D59" s="349"/>
      <c r="E59" s="349"/>
      <c r="F59" s="349"/>
      <c r="G59" s="349"/>
      <c r="H59" s="349"/>
      <c r="I59" s="349"/>
      <c r="J59" s="349"/>
      <c r="K59" s="349"/>
      <c r="L59" s="349"/>
      <c r="M59" s="349"/>
      <c r="N59" s="349"/>
      <c r="O59" s="349"/>
      <c r="P59" s="349"/>
      <c r="Q59" s="349"/>
      <c r="R59" s="349"/>
      <c r="S59" s="349"/>
      <c r="T59" s="349"/>
      <c r="U59" s="349"/>
      <c r="V59" s="349"/>
      <c r="W59" s="349"/>
      <c r="X59" s="349"/>
      <c r="Y59" s="349"/>
      <c r="Z59" s="349"/>
      <c r="AA59" s="349"/>
      <c r="AB59" s="349"/>
      <c r="AC59" s="349"/>
      <c r="AD59" s="349"/>
      <c r="AE59" s="349"/>
      <c r="AF59" s="349"/>
      <c r="AG59" s="349"/>
      <c r="AH59" s="349"/>
      <c r="AI59" s="349"/>
      <c r="AJ59" s="349"/>
      <c r="AK59" s="349"/>
    </row>
    <row r="60" spans="1:37" s="372" customFormat="1" ht="11.25" x14ac:dyDescent="0.2">
      <c r="A60" s="349"/>
      <c r="B60" s="349"/>
      <c r="C60" s="349"/>
      <c r="D60" s="349"/>
      <c r="E60" s="349"/>
      <c r="F60" s="349"/>
      <c r="G60" s="349"/>
      <c r="H60" s="349"/>
      <c r="I60" s="349"/>
      <c r="J60" s="349"/>
      <c r="K60" s="349"/>
      <c r="L60" s="349"/>
      <c r="M60" s="349"/>
      <c r="N60" s="349"/>
      <c r="O60" s="349"/>
      <c r="P60" s="349"/>
      <c r="Q60" s="349"/>
      <c r="R60" s="349"/>
      <c r="S60" s="349"/>
      <c r="T60" s="349"/>
      <c r="U60" s="349"/>
      <c r="V60" s="349"/>
      <c r="W60" s="349"/>
      <c r="X60" s="349"/>
      <c r="Y60" s="349"/>
      <c r="Z60" s="349"/>
      <c r="AA60" s="349"/>
      <c r="AB60" s="349"/>
      <c r="AC60" s="349"/>
      <c r="AD60" s="349"/>
      <c r="AE60" s="349"/>
      <c r="AF60" s="349"/>
      <c r="AG60" s="349"/>
      <c r="AH60" s="349"/>
      <c r="AI60" s="349"/>
      <c r="AJ60" s="349"/>
      <c r="AK60" s="349"/>
    </row>
    <row r="61" spans="1:37" s="372" customFormat="1" ht="11.25" x14ac:dyDescent="0.2">
      <c r="A61" s="349"/>
      <c r="B61" s="349"/>
      <c r="C61" s="349"/>
      <c r="D61" s="349"/>
      <c r="E61" s="349"/>
      <c r="F61" s="349"/>
      <c r="G61" s="349"/>
      <c r="H61" s="349"/>
      <c r="I61" s="349"/>
      <c r="J61" s="349"/>
      <c r="K61" s="349"/>
      <c r="L61" s="349"/>
      <c r="M61" s="349"/>
      <c r="N61" s="349"/>
      <c r="O61" s="349"/>
      <c r="P61" s="349"/>
      <c r="Q61" s="349"/>
      <c r="R61" s="349"/>
      <c r="S61" s="349"/>
      <c r="T61" s="349"/>
      <c r="U61" s="349"/>
      <c r="V61" s="349"/>
      <c r="W61" s="349"/>
      <c r="X61" s="349"/>
      <c r="Y61" s="349"/>
      <c r="Z61" s="349"/>
      <c r="AA61" s="349"/>
      <c r="AB61" s="349"/>
      <c r="AC61" s="349"/>
      <c r="AD61" s="349"/>
      <c r="AE61" s="349"/>
      <c r="AF61" s="349"/>
      <c r="AG61" s="349"/>
      <c r="AH61" s="349"/>
      <c r="AI61" s="349"/>
      <c r="AJ61" s="349"/>
      <c r="AK61" s="349"/>
    </row>
    <row r="62" spans="1:37" s="372" customFormat="1" ht="11.25" x14ac:dyDescent="0.2">
      <c r="A62" s="349"/>
      <c r="B62" s="349"/>
      <c r="C62" s="349"/>
      <c r="D62" s="349"/>
      <c r="E62" s="349"/>
      <c r="F62" s="349"/>
      <c r="G62" s="349"/>
      <c r="H62" s="349"/>
      <c r="I62" s="349"/>
      <c r="J62" s="349"/>
      <c r="K62" s="349"/>
      <c r="L62" s="349"/>
      <c r="M62" s="349"/>
      <c r="N62" s="349"/>
      <c r="O62" s="349"/>
      <c r="P62" s="349"/>
      <c r="Q62" s="349"/>
      <c r="R62" s="349"/>
      <c r="S62" s="349"/>
      <c r="T62" s="349"/>
      <c r="U62" s="349"/>
      <c r="V62" s="349"/>
      <c r="W62" s="349"/>
      <c r="X62" s="349"/>
      <c r="Y62" s="349"/>
      <c r="Z62" s="349"/>
      <c r="AA62" s="349"/>
      <c r="AB62" s="349"/>
      <c r="AC62" s="349"/>
      <c r="AD62" s="349"/>
      <c r="AE62" s="349"/>
      <c r="AF62" s="349"/>
      <c r="AG62" s="349"/>
      <c r="AH62" s="349"/>
      <c r="AI62" s="349"/>
      <c r="AJ62" s="349"/>
      <c r="AK62" s="349"/>
    </row>
    <row r="63" spans="1:37" s="372" customFormat="1" ht="11.25" x14ac:dyDescent="0.2">
      <c r="A63" s="349"/>
      <c r="B63" s="349"/>
      <c r="C63" s="349"/>
      <c r="D63" s="349"/>
      <c r="E63" s="349"/>
      <c r="F63" s="349"/>
      <c r="G63" s="349"/>
      <c r="H63" s="349"/>
      <c r="I63" s="349"/>
      <c r="J63" s="349"/>
      <c r="K63" s="349"/>
      <c r="L63" s="349"/>
      <c r="M63" s="349"/>
      <c r="N63" s="349"/>
      <c r="O63" s="349"/>
      <c r="P63" s="349"/>
      <c r="Q63" s="349"/>
      <c r="R63" s="349"/>
      <c r="S63" s="349"/>
      <c r="T63" s="349"/>
      <c r="U63" s="349"/>
      <c r="V63" s="349"/>
      <c r="W63" s="349"/>
      <c r="X63" s="349"/>
      <c r="Y63" s="349"/>
      <c r="Z63" s="349"/>
      <c r="AA63" s="349"/>
      <c r="AB63" s="349"/>
      <c r="AC63" s="349"/>
      <c r="AD63" s="349"/>
      <c r="AE63" s="349"/>
      <c r="AF63" s="349"/>
      <c r="AG63" s="349"/>
      <c r="AH63" s="349"/>
      <c r="AI63" s="349"/>
      <c r="AJ63" s="349"/>
      <c r="AK63" s="349"/>
    </row>
    <row r="64" spans="1:37" s="372" customFormat="1" ht="11.25" x14ac:dyDescent="0.2">
      <c r="A64" s="349"/>
      <c r="B64" s="349"/>
      <c r="C64" s="349"/>
      <c r="D64" s="349"/>
      <c r="E64" s="349"/>
      <c r="F64" s="349"/>
      <c r="G64" s="349"/>
      <c r="H64" s="349"/>
      <c r="I64" s="349"/>
      <c r="J64" s="349"/>
      <c r="K64" s="349"/>
      <c r="L64" s="349"/>
      <c r="M64" s="349"/>
      <c r="N64" s="349"/>
      <c r="O64" s="349"/>
      <c r="P64" s="349"/>
      <c r="Q64" s="349"/>
      <c r="R64" s="349"/>
      <c r="S64" s="349"/>
      <c r="T64" s="349"/>
      <c r="U64" s="349"/>
      <c r="V64" s="349"/>
      <c r="W64" s="349"/>
      <c r="X64" s="349"/>
      <c r="Y64" s="349"/>
      <c r="Z64" s="349"/>
      <c r="AA64" s="349"/>
      <c r="AB64" s="349"/>
      <c r="AC64" s="349"/>
      <c r="AD64" s="349"/>
      <c r="AE64" s="349"/>
      <c r="AF64" s="349"/>
      <c r="AG64" s="349"/>
      <c r="AH64" s="349"/>
      <c r="AI64" s="349"/>
      <c r="AJ64" s="349"/>
      <c r="AK64" s="349"/>
    </row>
    <row r="65" spans="1:37" s="372" customFormat="1" ht="11.25" x14ac:dyDescent="0.2">
      <c r="A65" s="349"/>
      <c r="B65" s="349"/>
      <c r="C65" s="349"/>
      <c r="D65" s="349"/>
      <c r="E65" s="349"/>
      <c r="F65" s="349"/>
      <c r="G65" s="349"/>
      <c r="H65" s="349"/>
      <c r="I65" s="349"/>
      <c r="J65" s="349"/>
      <c r="K65" s="349"/>
      <c r="L65" s="349"/>
      <c r="M65" s="349"/>
      <c r="N65" s="349"/>
      <c r="O65" s="349"/>
      <c r="P65" s="349"/>
      <c r="Q65" s="349"/>
      <c r="R65" s="349"/>
      <c r="S65" s="349"/>
      <c r="T65" s="349"/>
      <c r="U65" s="349"/>
      <c r="V65" s="349"/>
      <c r="W65" s="349"/>
      <c r="X65" s="349"/>
      <c r="Y65" s="349"/>
      <c r="Z65" s="349"/>
      <c r="AA65" s="349"/>
      <c r="AB65" s="349"/>
      <c r="AC65" s="349"/>
      <c r="AD65" s="349"/>
      <c r="AE65" s="349"/>
      <c r="AF65" s="349"/>
      <c r="AG65" s="349"/>
      <c r="AH65" s="349"/>
      <c r="AI65" s="349"/>
      <c r="AJ65" s="349"/>
      <c r="AK65" s="349"/>
    </row>
    <row r="66" spans="1:37" s="372" customFormat="1" ht="11.25" x14ac:dyDescent="0.2">
      <c r="A66" s="349"/>
      <c r="B66" s="349"/>
      <c r="C66" s="349"/>
      <c r="D66" s="349"/>
      <c r="E66" s="349"/>
      <c r="F66" s="349"/>
      <c r="G66" s="349"/>
      <c r="H66" s="349"/>
      <c r="I66" s="349"/>
      <c r="J66" s="349"/>
      <c r="K66" s="349"/>
      <c r="L66" s="349"/>
      <c r="M66" s="349"/>
      <c r="N66" s="349"/>
      <c r="O66" s="349"/>
      <c r="P66" s="349"/>
      <c r="Q66" s="349"/>
      <c r="R66" s="349"/>
      <c r="S66" s="349"/>
      <c r="T66" s="349"/>
      <c r="U66" s="349"/>
      <c r="V66" s="349"/>
      <c r="W66" s="349"/>
      <c r="X66" s="349"/>
      <c r="Y66" s="349"/>
      <c r="Z66" s="349"/>
      <c r="AA66" s="349"/>
      <c r="AB66" s="349"/>
      <c r="AC66" s="349"/>
      <c r="AD66" s="349"/>
      <c r="AE66" s="349"/>
      <c r="AF66" s="349"/>
      <c r="AG66" s="349"/>
      <c r="AH66" s="349"/>
      <c r="AI66" s="349"/>
      <c r="AJ66" s="349"/>
      <c r="AK66" s="349"/>
    </row>
    <row r="67" spans="1:37" s="372" customFormat="1" ht="11.25" x14ac:dyDescent="0.2">
      <c r="A67" s="349"/>
      <c r="B67" s="349"/>
      <c r="C67" s="349"/>
      <c r="D67" s="349"/>
      <c r="E67" s="349"/>
      <c r="F67" s="349"/>
      <c r="G67" s="349"/>
      <c r="H67" s="349"/>
      <c r="I67" s="349"/>
      <c r="J67" s="349"/>
      <c r="K67" s="349"/>
      <c r="L67" s="349"/>
      <c r="M67" s="349"/>
      <c r="N67" s="349"/>
      <c r="O67" s="349"/>
      <c r="P67" s="349"/>
      <c r="Q67" s="349"/>
      <c r="R67" s="349"/>
      <c r="S67" s="349"/>
      <c r="T67" s="349"/>
      <c r="U67" s="349"/>
      <c r="V67" s="349"/>
      <c r="W67" s="349"/>
      <c r="X67" s="349"/>
      <c r="Y67" s="349"/>
      <c r="Z67" s="349"/>
      <c r="AA67" s="349"/>
      <c r="AB67" s="349"/>
      <c r="AC67" s="349"/>
      <c r="AD67" s="349"/>
      <c r="AE67" s="349"/>
      <c r="AF67" s="349"/>
      <c r="AG67" s="349"/>
      <c r="AH67" s="349"/>
      <c r="AI67" s="349"/>
      <c r="AJ67" s="349"/>
      <c r="AK67" s="349"/>
    </row>
    <row r="68" spans="1:37" s="372" customFormat="1" ht="11.25" x14ac:dyDescent="0.2">
      <c r="A68" s="349"/>
      <c r="B68" s="349"/>
      <c r="C68" s="349"/>
      <c r="D68" s="349"/>
      <c r="E68" s="349"/>
      <c r="F68" s="349"/>
      <c r="G68" s="349"/>
      <c r="H68" s="349"/>
      <c r="I68" s="349"/>
      <c r="J68" s="349"/>
      <c r="K68" s="349"/>
      <c r="L68" s="349"/>
      <c r="M68" s="349"/>
      <c r="N68" s="349"/>
      <c r="O68" s="349"/>
      <c r="P68" s="349"/>
      <c r="Q68" s="349"/>
      <c r="R68" s="349"/>
      <c r="S68" s="349"/>
      <c r="T68" s="349"/>
      <c r="U68" s="349"/>
      <c r="V68" s="349"/>
      <c r="W68" s="349"/>
      <c r="X68" s="349"/>
      <c r="Y68" s="349"/>
      <c r="Z68" s="349"/>
      <c r="AA68" s="349"/>
      <c r="AB68" s="349"/>
      <c r="AC68" s="349"/>
      <c r="AD68" s="349"/>
      <c r="AE68" s="349"/>
      <c r="AF68" s="349"/>
      <c r="AG68" s="349"/>
      <c r="AH68" s="349"/>
      <c r="AI68" s="349"/>
      <c r="AJ68" s="349"/>
      <c r="AK68" s="349"/>
    </row>
    <row r="69" spans="1:37" s="372" customFormat="1" ht="11.25" x14ac:dyDescent="0.2">
      <c r="A69" s="349"/>
      <c r="B69" s="349"/>
      <c r="C69" s="349"/>
      <c r="D69" s="349"/>
      <c r="E69" s="349"/>
      <c r="F69" s="349"/>
      <c r="G69" s="349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49"/>
      <c r="S69" s="349"/>
      <c r="T69" s="349"/>
      <c r="U69" s="349"/>
      <c r="V69" s="349"/>
      <c r="W69" s="349"/>
      <c r="X69" s="349"/>
      <c r="Y69" s="349"/>
      <c r="Z69" s="349"/>
      <c r="AA69" s="349"/>
      <c r="AB69" s="349"/>
      <c r="AC69" s="349"/>
      <c r="AD69" s="349"/>
      <c r="AE69" s="349"/>
      <c r="AF69" s="349"/>
      <c r="AG69" s="349"/>
      <c r="AH69" s="349"/>
      <c r="AI69" s="349"/>
      <c r="AJ69" s="349"/>
      <c r="AK69" s="349"/>
    </row>
    <row r="70" spans="1:37" s="372" customFormat="1" ht="11.25" x14ac:dyDescent="0.2">
      <c r="A70" s="349"/>
      <c r="B70" s="349"/>
      <c r="C70" s="349"/>
      <c r="D70" s="349"/>
      <c r="E70" s="349"/>
      <c r="F70" s="349"/>
      <c r="G70" s="349"/>
      <c r="H70" s="349"/>
      <c r="I70" s="349"/>
      <c r="J70" s="349"/>
      <c r="K70" s="349"/>
      <c r="L70" s="349"/>
      <c r="M70" s="349"/>
      <c r="N70" s="349"/>
      <c r="O70" s="349"/>
      <c r="P70" s="349"/>
      <c r="Q70" s="349"/>
      <c r="R70" s="349"/>
      <c r="S70" s="349"/>
      <c r="T70" s="349"/>
      <c r="U70" s="349"/>
      <c r="V70" s="349"/>
      <c r="W70" s="349"/>
      <c r="X70" s="349"/>
      <c r="Y70" s="349"/>
      <c r="Z70" s="349"/>
      <c r="AA70" s="349"/>
      <c r="AB70" s="349"/>
      <c r="AC70" s="349"/>
      <c r="AD70" s="349"/>
      <c r="AE70" s="349"/>
      <c r="AF70" s="349"/>
      <c r="AG70" s="349"/>
      <c r="AH70" s="349"/>
      <c r="AI70" s="349"/>
      <c r="AJ70" s="349"/>
      <c r="AK70" s="349"/>
    </row>
    <row r="71" spans="1:37" s="372" customFormat="1" ht="11.25" x14ac:dyDescent="0.2">
      <c r="A71" s="349"/>
      <c r="B71" s="349"/>
      <c r="C71" s="349"/>
      <c r="D71" s="349"/>
      <c r="E71" s="349"/>
      <c r="F71" s="349"/>
      <c r="G71" s="349"/>
      <c r="H71" s="349"/>
      <c r="I71" s="349"/>
      <c r="J71" s="349"/>
      <c r="K71" s="349"/>
      <c r="L71" s="349"/>
      <c r="M71" s="349"/>
      <c r="N71" s="349"/>
      <c r="O71" s="349"/>
      <c r="P71" s="349"/>
      <c r="Q71" s="349"/>
      <c r="R71" s="349"/>
      <c r="S71" s="349"/>
      <c r="T71" s="349"/>
      <c r="U71" s="349"/>
      <c r="V71" s="349"/>
      <c r="W71" s="349"/>
      <c r="X71" s="349"/>
      <c r="Y71" s="349"/>
      <c r="Z71" s="349"/>
      <c r="AA71" s="349"/>
      <c r="AB71" s="349"/>
      <c r="AC71" s="349"/>
      <c r="AD71" s="349"/>
      <c r="AE71" s="349"/>
      <c r="AF71" s="349"/>
      <c r="AG71" s="349"/>
      <c r="AH71" s="349"/>
      <c r="AI71" s="349"/>
      <c r="AJ71" s="349"/>
      <c r="AK71" s="349"/>
    </row>
    <row r="72" spans="1:37" s="372" customFormat="1" ht="11.25" x14ac:dyDescent="0.2">
      <c r="A72" s="349"/>
      <c r="B72" s="349"/>
      <c r="C72" s="349"/>
      <c r="D72" s="349"/>
      <c r="E72" s="349"/>
      <c r="F72" s="349"/>
      <c r="G72" s="349"/>
      <c r="H72" s="349"/>
      <c r="I72" s="349"/>
      <c r="J72" s="349"/>
      <c r="K72" s="349"/>
      <c r="L72" s="349"/>
      <c r="M72" s="349"/>
      <c r="N72" s="349"/>
      <c r="O72" s="349"/>
      <c r="P72" s="349"/>
      <c r="Q72" s="349"/>
      <c r="R72" s="349"/>
      <c r="S72" s="349"/>
      <c r="T72" s="349"/>
      <c r="U72" s="349"/>
      <c r="V72" s="349"/>
      <c r="W72" s="349"/>
      <c r="X72" s="349"/>
      <c r="Y72" s="349"/>
      <c r="Z72" s="349"/>
      <c r="AA72" s="349"/>
      <c r="AB72" s="349"/>
      <c r="AC72" s="349"/>
      <c r="AD72" s="349"/>
      <c r="AE72" s="349"/>
      <c r="AF72" s="349"/>
      <c r="AG72" s="349"/>
      <c r="AH72" s="349"/>
      <c r="AI72" s="349"/>
      <c r="AJ72" s="349"/>
      <c r="AK72" s="349"/>
    </row>
    <row r="73" spans="1:37" s="372" customFormat="1" ht="11.25" x14ac:dyDescent="0.2">
      <c r="A73" s="349"/>
      <c r="B73" s="349"/>
      <c r="C73" s="349"/>
      <c r="D73" s="349"/>
      <c r="E73" s="349"/>
      <c r="F73" s="349"/>
      <c r="G73" s="349"/>
      <c r="H73" s="349"/>
      <c r="I73" s="349"/>
      <c r="J73" s="349"/>
      <c r="K73" s="349"/>
      <c r="L73" s="349"/>
      <c r="M73" s="349"/>
      <c r="N73" s="349"/>
      <c r="O73" s="349"/>
      <c r="P73" s="349"/>
      <c r="Q73" s="349"/>
      <c r="R73" s="349"/>
      <c r="S73" s="349"/>
      <c r="T73" s="349"/>
      <c r="U73" s="349"/>
      <c r="V73" s="349"/>
      <c r="W73" s="349"/>
      <c r="X73" s="349"/>
      <c r="Y73" s="349"/>
      <c r="Z73" s="349"/>
      <c r="AA73" s="349"/>
      <c r="AB73" s="349"/>
      <c r="AC73" s="349"/>
      <c r="AD73" s="349"/>
      <c r="AE73" s="349"/>
      <c r="AF73" s="349"/>
      <c r="AG73" s="349"/>
      <c r="AH73" s="349"/>
      <c r="AI73" s="349"/>
      <c r="AJ73" s="349"/>
      <c r="AK73" s="349"/>
    </row>
    <row r="74" spans="1:37" s="372" customFormat="1" ht="11.25" x14ac:dyDescent="0.2">
      <c r="A74" s="349"/>
      <c r="B74" s="349"/>
      <c r="C74" s="349"/>
      <c r="D74" s="349"/>
      <c r="E74" s="349"/>
      <c r="F74" s="349"/>
      <c r="G74" s="349"/>
      <c r="H74" s="349"/>
      <c r="I74" s="349"/>
      <c r="J74" s="349"/>
      <c r="K74" s="349"/>
      <c r="L74" s="349"/>
      <c r="M74" s="349"/>
      <c r="N74" s="349"/>
      <c r="O74" s="349"/>
      <c r="P74" s="349"/>
      <c r="Q74" s="349"/>
      <c r="R74" s="349"/>
      <c r="S74" s="349"/>
      <c r="T74" s="349"/>
      <c r="U74" s="349"/>
      <c r="V74" s="349"/>
      <c r="W74" s="349"/>
      <c r="X74" s="349"/>
      <c r="Y74" s="349"/>
      <c r="Z74" s="349"/>
      <c r="AA74" s="349"/>
      <c r="AB74" s="349"/>
      <c r="AC74" s="349"/>
      <c r="AD74" s="349"/>
      <c r="AE74" s="349"/>
      <c r="AF74" s="349"/>
      <c r="AG74" s="349"/>
      <c r="AH74" s="349"/>
      <c r="AI74" s="349"/>
      <c r="AJ74" s="349"/>
      <c r="AK74" s="349"/>
    </row>
  </sheetData>
  <hyperlinks>
    <hyperlink ref="AS6" location="Índex!E9" display="Índex"/>
  </hyperlinks>
  <printOptions horizontalCentered="1" gridLinesSet="0"/>
  <pageMargins left="0" right="0" top="0.39370078740157483" bottom="0" header="0" footer="0"/>
  <pageSetup paperSize="9" orientation="landscape" r:id="rId1"/>
  <headerFooter alignWithMargins="0">
    <oddHeader>&amp;R&amp;P/&amp;N</oddHeader>
  </headerFooter>
  <colBreaks count="5" manualBreakCount="5">
    <brk id="9" max="25" man="1"/>
    <brk id="17" max="25" man="1"/>
    <brk id="25" max="25" man="1"/>
    <brk id="33" max="25" man="1"/>
    <brk id="41" max="25" man="1"/>
  </col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5"/>
  <dimension ref="A1:DQ122"/>
  <sheetViews>
    <sheetView showGridLines="0" zoomScaleNormal="100" workbookViewId="0">
      <pane xSplit="1" ySplit="8" topLeftCell="AL9" activePane="bottomRight" state="frozen"/>
      <selection activeCell="E9" sqref="E9"/>
      <selection pane="topRight" activeCell="E9" sqref="E9"/>
      <selection pane="bottomLeft" activeCell="E9" sqref="E9"/>
      <selection pane="bottomRight" activeCell="AW39" sqref="AW39"/>
    </sheetView>
  </sheetViews>
  <sheetFormatPr defaultColWidth="10.7109375" defaultRowHeight="15" customHeight="1" x14ac:dyDescent="0.2"/>
  <cols>
    <col min="1" max="1" width="60.7109375" style="1" customWidth="1"/>
    <col min="2" max="16384" width="10.7109375" style="1"/>
  </cols>
  <sheetData>
    <row r="1" spans="1:92" s="25" customFormat="1" ht="15" customHeight="1" x14ac:dyDescent="0.2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2"/>
      <c r="AW1" s="62"/>
      <c r="AX1" s="62"/>
      <c r="AY1" s="62"/>
      <c r="AZ1" s="62"/>
      <c r="BA1" s="62"/>
      <c r="BB1" s="62"/>
      <c r="BC1" s="62"/>
      <c r="BD1" s="62"/>
      <c r="BE1" s="62"/>
      <c r="BF1" s="62"/>
      <c r="BG1" s="62"/>
      <c r="BH1" s="62"/>
      <c r="BI1" s="62"/>
      <c r="BJ1" s="56"/>
      <c r="BK1" s="56"/>
      <c r="BL1" s="56"/>
      <c r="BM1" s="56"/>
      <c r="BN1" s="56"/>
      <c r="BO1" s="56"/>
      <c r="BP1" s="56"/>
      <c r="BQ1" s="56"/>
      <c r="BR1" s="56"/>
      <c r="BS1" s="56"/>
      <c r="BT1" s="56"/>
      <c r="BU1" s="56"/>
    </row>
    <row r="2" spans="1:92" s="25" customFormat="1" ht="15" customHeight="1" x14ac:dyDescent="0.25">
      <c r="A2" s="56"/>
      <c r="B2" s="199"/>
      <c r="C2" s="56"/>
      <c r="D2" s="56"/>
      <c r="E2" s="216"/>
      <c r="F2" s="216"/>
      <c r="G2" s="216"/>
      <c r="H2" s="56"/>
      <c r="I2" s="56"/>
      <c r="J2" s="56"/>
      <c r="K2" s="21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  <c r="BM2" s="56"/>
      <c r="BN2" s="56"/>
      <c r="BO2" s="56"/>
      <c r="BP2" s="56"/>
      <c r="BQ2" s="56"/>
      <c r="BR2" s="56"/>
      <c r="BS2" s="56"/>
      <c r="BT2" s="56"/>
      <c r="BU2" s="56"/>
    </row>
    <row r="3" spans="1:92" s="25" customFormat="1" ht="15" customHeight="1" x14ac:dyDescent="0.25">
      <c r="A3" s="57"/>
      <c r="B3" s="57"/>
      <c r="C3" s="61"/>
      <c r="D3" s="57"/>
      <c r="E3" s="217"/>
      <c r="F3" s="217"/>
      <c r="G3" s="217"/>
      <c r="H3" s="57"/>
      <c r="I3" s="57"/>
      <c r="J3" s="57"/>
      <c r="K3" s="21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7"/>
      <c r="BT3" s="57"/>
      <c r="BU3" s="57"/>
    </row>
    <row r="4" spans="1:92" s="25" customFormat="1" ht="15" customHeight="1" x14ac:dyDescent="0.2">
      <c r="A4" s="58"/>
      <c r="B4" s="58"/>
      <c r="C4" s="58"/>
      <c r="D4" s="58"/>
      <c r="E4" s="218"/>
      <c r="F4" s="218"/>
      <c r="G4" s="218"/>
      <c r="H4" s="58"/>
      <c r="I4" s="58"/>
      <c r="J4" s="58"/>
      <c r="K4" s="21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  <c r="CG4" s="198"/>
      <c r="CH4" s="198"/>
      <c r="CI4" s="198"/>
      <c r="CJ4" s="198"/>
      <c r="CK4" s="198"/>
      <c r="CL4" s="198"/>
      <c r="CM4" s="198"/>
      <c r="CN4" s="198"/>
    </row>
    <row r="5" spans="1:92" s="25" customFormat="1" ht="19.5" thickBot="1" x14ac:dyDescent="0.35">
      <c r="A5" s="190" t="s">
        <v>483</v>
      </c>
      <c r="B5" s="61"/>
      <c r="C5" s="59"/>
      <c r="D5" s="61"/>
      <c r="E5" s="59"/>
      <c r="F5" s="114"/>
      <c r="G5" s="59"/>
      <c r="H5" s="112"/>
      <c r="I5" s="59"/>
      <c r="J5" s="59"/>
      <c r="K5" s="59"/>
      <c r="L5" s="59"/>
      <c r="M5" s="59"/>
      <c r="N5" s="59"/>
      <c r="O5" s="59"/>
      <c r="P5" s="59"/>
      <c r="Q5" s="59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59"/>
      <c r="BR5" s="59"/>
      <c r="BS5" s="59"/>
      <c r="BT5" s="59"/>
      <c r="BU5" s="59"/>
      <c r="BW5" s="114"/>
      <c r="CA5" s="114"/>
      <c r="CC5" s="134"/>
      <c r="CF5" s="65"/>
      <c r="CG5" s="194"/>
      <c r="CH5" s="194"/>
      <c r="CI5" s="194"/>
      <c r="CJ5" s="225"/>
      <c r="CK5" s="194"/>
      <c r="CL5" s="194"/>
      <c r="CM5" s="194"/>
      <c r="CN5" s="194"/>
    </row>
    <row r="6" spans="1:92" s="25" customFormat="1" ht="15" customHeight="1" thickTop="1" x14ac:dyDescent="0.25">
      <c r="A6" s="56"/>
      <c r="B6" s="199"/>
      <c r="C6" s="56"/>
      <c r="D6" s="56"/>
      <c r="E6" s="216"/>
      <c r="F6" s="216"/>
      <c r="G6" s="216"/>
      <c r="H6" s="56"/>
      <c r="I6" s="56"/>
      <c r="J6" s="56"/>
      <c r="K6" s="21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6"/>
      <c r="AP6" s="400"/>
      <c r="AQ6" s="400"/>
      <c r="AR6" s="400"/>
      <c r="AS6" s="400" t="s">
        <v>662</v>
      </c>
      <c r="AT6" s="56"/>
      <c r="AU6" s="56"/>
      <c r="AV6" s="56"/>
      <c r="AW6" s="56"/>
      <c r="AX6" s="56"/>
      <c r="AY6" s="56"/>
      <c r="AZ6" s="56"/>
      <c r="BA6" s="56"/>
      <c r="BB6" s="56"/>
      <c r="BC6" s="56"/>
      <c r="BD6" s="56"/>
      <c r="BE6" s="56"/>
      <c r="BF6" s="56"/>
      <c r="BG6" s="56"/>
      <c r="BH6" s="56"/>
      <c r="BI6" s="56"/>
      <c r="BJ6" s="56"/>
      <c r="BK6" s="56"/>
      <c r="BL6" s="56"/>
      <c r="BM6" s="56"/>
      <c r="BN6" s="56"/>
      <c r="BO6" s="56"/>
      <c r="BP6" s="56"/>
      <c r="BQ6" s="56"/>
      <c r="BR6" s="56"/>
      <c r="BS6" s="56"/>
      <c r="BT6" s="56"/>
      <c r="BU6" s="56"/>
      <c r="CA6" s="198"/>
      <c r="CB6" s="198"/>
      <c r="CC6" s="198"/>
      <c r="CD6" s="198"/>
      <c r="CE6" s="198"/>
    </row>
    <row r="7" spans="1:92" s="183" customFormat="1" ht="15" customHeight="1" x14ac:dyDescent="0.2">
      <c r="A7" s="182"/>
      <c r="B7" s="195" t="s">
        <v>35</v>
      </c>
      <c r="C7" s="195" t="s">
        <v>36</v>
      </c>
      <c r="D7" s="195" t="s">
        <v>321</v>
      </c>
      <c r="E7" s="195" t="s">
        <v>331</v>
      </c>
      <c r="F7" s="195" t="s">
        <v>37</v>
      </c>
      <c r="G7" s="195" t="s">
        <v>38</v>
      </c>
      <c r="H7" s="195" t="s">
        <v>322</v>
      </c>
      <c r="I7" s="195" t="s">
        <v>332</v>
      </c>
      <c r="J7" s="195" t="s">
        <v>39</v>
      </c>
      <c r="K7" s="195" t="s">
        <v>40</v>
      </c>
      <c r="L7" s="195" t="s">
        <v>323</v>
      </c>
      <c r="M7" s="195" t="s">
        <v>333</v>
      </c>
      <c r="N7" s="195" t="s">
        <v>41</v>
      </c>
      <c r="O7" s="195" t="s">
        <v>42</v>
      </c>
      <c r="P7" s="195" t="s">
        <v>324</v>
      </c>
      <c r="Q7" s="195" t="s">
        <v>334</v>
      </c>
      <c r="R7" s="195" t="s">
        <v>43</v>
      </c>
      <c r="S7" s="195" t="s">
        <v>44</v>
      </c>
      <c r="T7" s="195" t="s">
        <v>325</v>
      </c>
      <c r="U7" s="195" t="s">
        <v>335</v>
      </c>
      <c r="V7" s="195" t="s">
        <v>45</v>
      </c>
      <c r="W7" s="195" t="s">
        <v>46</v>
      </c>
      <c r="X7" s="195" t="s">
        <v>326</v>
      </c>
      <c r="Y7" s="195" t="s">
        <v>336</v>
      </c>
      <c r="Z7" s="195" t="s">
        <v>47</v>
      </c>
      <c r="AA7" s="195" t="s">
        <v>48</v>
      </c>
      <c r="AB7" s="195" t="s">
        <v>327</v>
      </c>
      <c r="AC7" s="195" t="s">
        <v>337</v>
      </c>
      <c r="AD7" s="195" t="s">
        <v>49</v>
      </c>
      <c r="AE7" s="195" t="s">
        <v>50</v>
      </c>
      <c r="AF7" s="195" t="s">
        <v>328</v>
      </c>
      <c r="AG7" s="195" t="s">
        <v>338</v>
      </c>
      <c r="AH7" s="195" t="s">
        <v>51</v>
      </c>
      <c r="AI7" s="195" t="s">
        <v>52</v>
      </c>
      <c r="AJ7" s="195" t="s">
        <v>329</v>
      </c>
      <c r="AK7" s="195" t="s">
        <v>339</v>
      </c>
      <c r="AL7" s="195" t="s">
        <v>53</v>
      </c>
      <c r="AM7" s="195" t="s">
        <v>54</v>
      </c>
      <c r="AN7" s="195" t="s">
        <v>330</v>
      </c>
      <c r="AO7" s="410" t="s">
        <v>340</v>
      </c>
      <c r="AP7" s="410" t="s">
        <v>71</v>
      </c>
      <c r="AQ7" s="591" t="s">
        <v>374</v>
      </c>
      <c r="AR7" s="664" t="s">
        <v>376</v>
      </c>
      <c r="AS7" s="664" t="s">
        <v>399</v>
      </c>
      <c r="CA7" s="243"/>
      <c r="CB7" s="243"/>
      <c r="CC7" s="243"/>
      <c r="CD7" s="243"/>
      <c r="CE7" s="243"/>
    </row>
    <row r="8" spans="1:92" s="178" customFormat="1" ht="12" customHeight="1" x14ac:dyDescent="0.2">
      <c r="A8" s="233"/>
      <c r="B8" s="233"/>
      <c r="C8" s="233"/>
      <c r="D8" s="233"/>
      <c r="E8" s="233"/>
      <c r="F8" s="233"/>
      <c r="G8" s="233" t="s">
        <v>29</v>
      </c>
      <c r="H8" s="233" t="s">
        <v>29</v>
      </c>
      <c r="I8" s="233" t="s">
        <v>29</v>
      </c>
      <c r="J8" s="233" t="s">
        <v>29</v>
      </c>
      <c r="K8" s="233" t="s">
        <v>29</v>
      </c>
      <c r="L8" s="233" t="s">
        <v>29</v>
      </c>
      <c r="M8" s="233" t="s">
        <v>29</v>
      </c>
      <c r="N8" s="233" t="s">
        <v>29</v>
      </c>
      <c r="O8" s="233" t="s">
        <v>29</v>
      </c>
      <c r="P8" s="233" t="s">
        <v>29</v>
      </c>
      <c r="Q8" s="233" t="s">
        <v>29</v>
      </c>
      <c r="R8" s="233" t="s">
        <v>29</v>
      </c>
      <c r="S8" s="233" t="s">
        <v>29</v>
      </c>
      <c r="T8" s="233" t="s">
        <v>29</v>
      </c>
      <c r="U8" s="233" t="s">
        <v>29</v>
      </c>
      <c r="V8" s="233" t="s">
        <v>29</v>
      </c>
      <c r="W8" s="233" t="s">
        <v>29</v>
      </c>
      <c r="X8" s="233" t="s">
        <v>29</v>
      </c>
      <c r="Y8" s="233" t="s">
        <v>29</v>
      </c>
      <c r="Z8" s="233" t="s">
        <v>29</v>
      </c>
      <c r="AA8" s="233" t="s">
        <v>29</v>
      </c>
      <c r="AB8" s="233" t="s">
        <v>29</v>
      </c>
      <c r="AC8" s="233" t="s">
        <v>29</v>
      </c>
      <c r="AD8" s="233" t="s">
        <v>29</v>
      </c>
      <c r="AE8" s="233" t="s">
        <v>29</v>
      </c>
      <c r="AF8" s="233" t="s">
        <v>29</v>
      </c>
      <c r="AG8" s="233" t="s">
        <v>29</v>
      </c>
      <c r="AH8" s="233" t="s">
        <v>29</v>
      </c>
      <c r="AI8" s="233" t="s">
        <v>29</v>
      </c>
      <c r="AJ8" s="233" t="s">
        <v>29</v>
      </c>
      <c r="AK8" s="233" t="s">
        <v>29</v>
      </c>
      <c r="AL8" s="233" t="s">
        <v>29</v>
      </c>
      <c r="AM8" s="233" t="s">
        <v>29</v>
      </c>
      <c r="AN8" s="233" t="s">
        <v>29</v>
      </c>
      <c r="AO8" s="233" t="s">
        <v>29</v>
      </c>
      <c r="AP8" s="233" t="s">
        <v>29</v>
      </c>
      <c r="AQ8" s="233" t="s">
        <v>29</v>
      </c>
      <c r="AR8" s="233" t="s">
        <v>29</v>
      </c>
      <c r="AS8" s="233" t="s">
        <v>29</v>
      </c>
      <c r="AT8" s="191"/>
      <c r="AU8" s="191"/>
      <c r="AV8" s="191"/>
      <c r="AW8" s="191"/>
      <c r="AX8" s="191"/>
      <c r="AY8" s="191"/>
      <c r="AZ8" s="191"/>
      <c r="BA8" s="191"/>
      <c r="BB8" s="191"/>
      <c r="BC8" s="191"/>
      <c r="BD8" s="191"/>
      <c r="BE8" s="191"/>
      <c r="BF8" s="191"/>
      <c r="BG8" s="191"/>
      <c r="BH8" s="191"/>
      <c r="BI8" s="191"/>
      <c r="BJ8" s="191"/>
      <c r="BK8" s="191"/>
      <c r="BL8" s="191"/>
      <c r="BM8" s="191"/>
      <c r="BN8" s="191"/>
      <c r="BO8" s="191"/>
      <c r="BP8" s="191"/>
      <c r="BQ8" s="191"/>
      <c r="BR8" s="191"/>
      <c r="BS8" s="191"/>
      <c r="BT8" s="191"/>
      <c r="BU8" s="191"/>
      <c r="BV8" s="191"/>
      <c r="BW8" s="191"/>
      <c r="BX8" s="191"/>
      <c r="BY8" s="191"/>
      <c r="BZ8" s="191"/>
      <c r="CA8" s="191"/>
      <c r="CB8" s="191"/>
      <c r="CC8" s="191"/>
      <c r="CD8" s="191"/>
    </row>
    <row r="9" spans="1:92" s="178" customFormat="1" ht="5.0999999999999996" customHeight="1" x14ac:dyDescent="0.2">
      <c r="A9" s="203"/>
      <c r="B9" s="203"/>
      <c r="C9" s="203"/>
      <c r="D9" s="203"/>
      <c r="E9" s="203"/>
      <c r="F9" s="203"/>
      <c r="G9" s="203"/>
      <c r="H9" s="203"/>
      <c r="I9" s="203"/>
      <c r="J9" s="203"/>
      <c r="K9" s="203"/>
      <c r="L9" s="203"/>
      <c r="M9" s="203"/>
      <c r="N9" s="203"/>
      <c r="O9" s="203"/>
      <c r="P9" s="203"/>
      <c r="Q9" s="203"/>
      <c r="R9" s="203"/>
      <c r="S9" s="203"/>
      <c r="T9" s="203"/>
      <c r="U9" s="203"/>
      <c r="V9" s="203"/>
      <c r="W9" s="203"/>
      <c r="X9" s="203"/>
      <c r="Y9" s="203"/>
      <c r="Z9" s="203"/>
      <c r="AA9" s="203"/>
      <c r="AB9" s="203"/>
      <c r="AC9" s="203"/>
      <c r="AD9" s="203"/>
      <c r="AE9" s="203"/>
      <c r="AF9" s="203"/>
      <c r="AG9" s="203"/>
      <c r="AH9" s="203"/>
      <c r="AI9" s="203"/>
      <c r="AJ9" s="203"/>
      <c r="AK9" s="203"/>
      <c r="AL9" s="203"/>
      <c r="AM9" s="203"/>
      <c r="AN9" s="203"/>
      <c r="AO9" s="203"/>
      <c r="AP9" s="203"/>
      <c r="AQ9" s="203"/>
      <c r="AR9" s="203"/>
      <c r="AS9" s="203"/>
      <c r="AT9" s="203"/>
      <c r="AU9" s="203"/>
      <c r="AV9" s="203"/>
      <c r="AW9" s="203"/>
      <c r="AX9" s="203"/>
      <c r="AY9" s="203"/>
      <c r="AZ9" s="203"/>
      <c r="BA9" s="203"/>
      <c r="BB9" s="203"/>
      <c r="BC9" s="203"/>
      <c r="BD9" s="203"/>
      <c r="BE9" s="203"/>
      <c r="BF9" s="203"/>
      <c r="BG9" s="203"/>
      <c r="BH9" s="203"/>
      <c r="BI9" s="203"/>
      <c r="BJ9" s="203"/>
      <c r="BK9" s="203"/>
      <c r="BL9" s="203"/>
      <c r="BM9" s="203"/>
      <c r="BN9" s="203"/>
      <c r="BO9" s="203"/>
      <c r="BP9" s="203"/>
      <c r="BQ9" s="203"/>
      <c r="BR9" s="203"/>
      <c r="BS9" s="203"/>
      <c r="BT9" s="203"/>
      <c r="BU9" s="203"/>
      <c r="BV9" s="203"/>
      <c r="BW9" s="203"/>
      <c r="BX9" s="203"/>
      <c r="BY9" s="203"/>
      <c r="BZ9" s="203"/>
      <c r="CA9" s="203"/>
      <c r="CB9" s="203"/>
      <c r="CC9" s="203"/>
      <c r="CD9" s="203"/>
    </row>
    <row r="10" spans="1:92" s="228" customFormat="1" ht="15" customHeight="1" x14ac:dyDescent="0.2">
      <c r="A10" s="226" t="s">
        <v>484</v>
      </c>
      <c r="B10" s="227">
        <v>2979</v>
      </c>
      <c r="C10" s="227">
        <v>3190</v>
      </c>
      <c r="D10" s="227">
        <v>3320</v>
      </c>
      <c r="E10" s="227">
        <v>3293</v>
      </c>
      <c r="F10" s="227">
        <v>3826</v>
      </c>
      <c r="G10" s="227">
        <v>4012</v>
      </c>
      <c r="H10" s="214">
        <v>4595</v>
      </c>
      <c r="I10" s="214">
        <v>5913</v>
      </c>
      <c r="J10" s="214">
        <v>5911</v>
      </c>
      <c r="K10" s="214">
        <v>6565</v>
      </c>
      <c r="L10" s="214">
        <v>7623</v>
      </c>
      <c r="M10" s="214">
        <v>7724</v>
      </c>
      <c r="N10" s="214">
        <v>7920</v>
      </c>
      <c r="O10" s="214">
        <v>8389</v>
      </c>
      <c r="P10" s="214">
        <v>8205</v>
      </c>
      <c r="Q10" s="214">
        <v>8797</v>
      </c>
      <c r="R10" s="214">
        <v>9089</v>
      </c>
      <c r="S10" s="214">
        <v>10006</v>
      </c>
      <c r="T10" s="214">
        <v>11347</v>
      </c>
      <c r="U10" s="214">
        <v>10984</v>
      </c>
      <c r="V10" s="214">
        <v>11032</v>
      </c>
      <c r="W10" s="214">
        <v>12383</v>
      </c>
      <c r="X10" s="214">
        <v>12511</v>
      </c>
      <c r="Y10" s="214">
        <v>12176</v>
      </c>
      <c r="Z10" s="214">
        <v>13258</v>
      </c>
      <c r="AA10" s="214">
        <v>14271</v>
      </c>
      <c r="AB10" s="214">
        <v>14687</v>
      </c>
      <c r="AC10" s="214">
        <v>15349</v>
      </c>
      <c r="AD10" s="214">
        <v>15782</v>
      </c>
      <c r="AE10" s="214">
        <v>16914</v>
      </c>
      <c r="AF10" s="214">
        <v>17906</v>
      </c>
      <c r="AG10" s="214">
        <v>18053</v>
      </c>
      <c r="AH10" s="214">
        <v>19154</v>
      </c>
      <c r="AI10" s="214">
        <v>19494</v>
      </c>
      <c r="AJ10" s="214">
        <v>23110</v>
      </c>
      <c r="AK10" s="214">
        <v>24018</v>
      </c>
      <c r="AL10" s="214">
        <v>25159</v>
      </c>
      <c r="AM10" s="214">
        <v>24901</v>
      </c>
      <c r="AN10" s="214">
        <v>24656</v>
      </c>
      <c r="AO10" s="214">
        <v>25836</v>
      </c>
      <c r="AP10" s="214">
        <v>27707</v>
      </c>
      <c r="AQ10" s="214">
        <v>30341.21</v>
      </c>
      <c r="AR10" s="214">
        <v>31098</v>
      </c>
      <c r="AS10" s="208">
        <v>29827</v>
      </c>
      <c r="CA10" s="242"/>
      <c r="CB10" s="242"/>
      <c r="CC10" s="242"/>
      <c r="CD10" s="242"/>
      <c r="CE10" s="242"/>
    </row>
    <row r="11" spans="1:92" s="228" customFormat="1" ht="15" customHeight="1" x14ac:dyDescent="0.2">
      <c r="A11" s="226" t="s">
        <v>485</v>
      </c>
      <c r="B11" s="227">
        <v>1406</v>
      </c>
      <c r="C11" s="227">
        <v>1522</v>
      </c>
      <c r="D11" s="227">
        <v>1694</v>
      </c>
      <c r="E11" s="227">
        <v>1855</v>
      </c>
      <c r="F11" s="227">
        <v>1958</v>
      </c>
      <c r="G11" s="227">
        <v>2166</v>
      </c>
      <c r="H11" s="214">
        <v>2208</v>
      </c>
      <c r="I11" s="214">
        <v>2249</v>
      </c>
      <c r="J11" s="214">
        <f>613+1833</f>
        <v>2446</v>
      </c>
      <c r="K11" s="214">
        <f>690+1980</f>
        <v>2670</v>
      </c>
      <c r="L11" s="214">
        <f>822+2170</f>
        <v>2992</v>
      </c>
      <c r="M11" s="214">
        <v>2798</v>
      </c>
      <c r="N11" s="214">
        <f>895+2266</f>
        <v>3161</v>
      </c>
      <c r="O11" s="214">
        <f>924+2411</f>
        <v>3335</v>
      </c>
      <c r="P11" s="214">
        <f>964+2568</f>
        <v>3532</v>
      </c>
      <c r="Q11" s="214">
        <f>1025+2771</f>
        <v>3796</v>
      </c>
      <c r="R11" s="214">
        <f>1080+3262+1</f>
        <v>4343</v>
      </c>
      <c r="S11" s="214">
        <f>1148+3501</f>
        <v>4649</v>
      </c>
      <c r="T11" s="214">
        <f>1238+3879</f>
        <v>5117</v>
      </c>
      <c r="U11" s="214">
        <f>1285+4087</f>
        <v>5372</v>
      </c>
      <c r="V11" s="214">
        <f>1313+4353</f>
        <v>5666</v>
      </c>
      <c r="W11" s="214">
        <f>1351+4501</f>
        <v>5852</v>
      </c>
      <c r="X11" s="214">
        <f>1400+4694</f>
        <v>6094</v>
      </c>
      <c r="Y11" s="214">
        <f>1473+4953</f>
        <v>6426</v>
      </c>
      <c r="Z11" s="214">
        <f>1501+5257</f>
        <v>6758</v>
      </c>
      <c r="AA11" s="214">
        <f>1496+5451+1</f>
        <v>6948</v>
      </c>
      <c r="AB11" s="214">
        <f>5640+1549</f>
        <v>7189</v>
      </c>
      <c r="AC11" s="214">
        <f>1518+2299</f>
        <v>3817</v>
      </c>
      <c r="AD11" s="214">
        <f>1511+2397</f>
        <v>3908</v>
      </c>
      <c r="AE11" s="214">
        <f>1530+2488</f>
        <v>4018</v>
      </c>
      <c r="AF11" s="214">
        <v>3683</v>
      </c>
      <c r="AG11" s="214">
        <v>3765</v>
      </c>
      <c r="AH11" s="214">
        <v>3980</v>
      </c>
      <c r="AI11" s="214">
        <v>4122</v>
      </c>
      <c r="AJ11" s="214">
        <v>4419</v>
      </c>
      <c r="AK11" s="214">
        <v>4577</v>
      </c>
      <c r="AL11" s="214">
        <f>1846+2852</f>
        <v>4698</v>
      </c>
      <c r="AM11" s="214">
        <f>1920+3046</f>
        <v>4966</v>
      </c>
      <c r="AN11" s="214">
        <f>2139+3120</f>
        <v>5259</v>
      </c>
      <c r="AO11" s="214">
        <v>5414</v>
      </c>
      <c r="AP11" s="214">
        <v>5373</v>
      </c>
      <c r="AQ11" s="214">
        <v>5221</v>
      </c>
      <c r="AR11" s="214">
        <v>5251</v>
      </c>
      <c r="AS11" s="208">
        <v>5235</v>
      </c>
    </row>
    <row r="12" spans="1:92" s="228" customFormat="1" ht="15" customHeight="1" x14ac:dyDescent="0.2">
      <c r="A12" s="226" t="s">
        <v>486</v>
      </c>
      <c r="B12" s="227">
        <v>406</v>
      </c>
      <c r="C12" s="227">
        <v>407</v>
      </c>
      <c r="D12" s="227">
        <v>415</v>
      </c>
      <c r="E12" s="227">
        <v>504</v>
      </c>
      <c r="F12" s="227">
        <v>527</v>
      </c>
      <c r="G12" s="227">
        <v>536</v>
      </c>
      <c r="H12" s="214">
        <v>555</v>
      </c>
      <c r="I12" s="214">
        <v>566</v>
      </c>
      <c r="J12" s="214">
        <v>570</v>
      </c>
      <c r="K12" s="214">
        <v>579</v>
      </c>
      <c r="L12" s="214">
        <v>589</v>
      </c>
      <c r="M12" s="214">
        <v>579</v>
      </c>
      <c r="N12" s="214">
        <v>605</v>
      </c>
      <c r="O12" s="214">
        <v>622</v>
      </c>
      <c r="P12" s="214">
        <v>618</v>
      </c>
      <c r="Q12" s="214">
        <v>627</v>
      </c>
      <c r="R12" s="214">
        <v>641</v>
      </c>
      <c r="S12" s="214">
        <v>679</v>
      </c>
      <c r="T12" s="214">
        <v>893</v>
      </c>
      <c r="U12" s="214">
        <v>916</v>
      </c>
      <c r="V12" s="214">
        <v>934</v>
      </c>
      <c r="W12" s="214">
        <v>960</v>
      </c>
      <c r="X12" s="214">
        <v>972</v>
      </c>
      <c r="Y12" s="214">
        <v>987</v>
      </c>
      <c r="Z12" s="214">
        <v>985</v>
      </c>
      <c r="AA12" s="214">
        <v>975</v>
      </c>
      <c r="AB12" s="214">
        <v>989</v>
      </c>
      <c r="AC12" s="214">
        <v>999</v>
      </c>
      <c r="AD12" s="214">
        <v>996</v>
      </c>
      <c r="AE12" s="214">
        <v>974</v>
      </c>
      <c r="AF12" s="214">
        <v>1147</v>
      </c>
      <c r="AG12" s="214">
        <v>1096</v>
      </c>
      <c r="AH12" s="214">
        <v>1077</v>
      </c>
      <c r="AI12" s="214">
        <v>1097</v>
      </c>
      <c r="AJ12" s="214">
        <v>1188</v>
      </c>
      <c r="AK12" s="214">
        <v>1300</v>
      </c>
      <c r="AL12" s="214">
        <v>1309</v>
      </c>
      <c r="AM12" s="214">
        <v>1326</v>
      </c>
      <c r="AN12" s="214">
        <v>2066</v>
      </c>
      <c r="AO12" s="214">
        <v>2121</v>
      </c>
      <c r="AP12" s="214">
        <v>2197</v>
      </c>
      <c r="AQ12" s="214">
        <v>2116</v>
      </c>
      <c r="AR12" s="214">
        <v>2120</v>
      </c>
      <c r="AS12" s="208">
        <v>2191</v>
      </c>
    </row>
    <row r="13" spans="1:92" s="228" customFormat="1" ht="15" customHeight="1" x14ac:dyDescent="0.2">
      <c r="A13" s="226" t="s">
        <v>487</v>
      </c>
      <c r="B13" s="227">
        <v>131</v>
      </c>
      <c r="C13" s="227">
        <v>133</v>
      </c>
      <c r="D13" s="227">
        <v>131</v>
      </c>
      <c r="E13" s="227">
        <v>135</v>
      </c>
      <c r="F13" s="227">
        <v>132</v>
      </c>
      <c r="G13" s="227">
        <v>148</v>
      </c>
      <c r="H13" s="214">
        <v>147</v>
      </c>
      <c r="I13" s="214">
        <v>422</v>
      </c>
      <c r="J13" s="214">
        <v>455</v>
      </c>
      <c r="K13" s="214">
        <v>442</v>
      </c>
      <c r="L13" s="214">
        <v>415</v>
      </c>
      <c r="M13" s="214">
        <v>427</v>
      </c>
      <c r="N13" s="214">
        <v>427</v>
      </c>
      <c r="O13" s="214">
        <v>420</v>
      </c>
      <c r="P13" s="214">
        <v>414</v>
      </c>
      <c r="Q13" s="214">
        <v>407</v>
      </c>
      <c r="R13" s="214">
        <v>409</v>
      </c>
      <c r="S13" s="214">
        <v>412</v>
      </c>
      <c r="T13" s="214">
        <v>411</v>
      </c>
      <c r="U13" s="214">
        <v>406</v>
      </c>
      <c r="V13" s="214">
        <v>405</v>
      </c>
      <c r="W13" s="214">
        <v>415</v>
      </c>
      <c r="X13" s="214">
        <v>415</v>
      </c>
      <c r="Y13" s="214">
        <v>411</v>
      </c>
      <c r="Z13" s="214">
        <v>411</v>
      </c>
      <c r="AA13" s="214">
        <v>411</v>
      </c>
      <c r="AB13" s="214">
        <v>424</v>
      </c>
      <c r="AC13" s="214">
        <v>534</v>
      </c>
      <c r="AD13" s="214">
        <v>460</v>
      </c>
      <c r="AE13" s="214">
        <v>457</v>
      </c>
      <c r="AF13" s="214">
        <v>453</v>
      </c>
      <c r="AG13" s="214">
        <v>430</v>
      </c>
      <c r="AH13" s="214">
        <v>429</v>
      </c>
      <c r="AI13" s="214">
        <v>438</v>
      </c>
      <c r="AJ13" s="214">
        <v>446</v>
      </c>
      <c r="AK13" s="214">
        <v>442</v>
      </c>
      <c r="AL13" s="214">
        <v>435</v>
      </c>
      <c r="AM13" s="214">
        <v>432</v>
      </c>
      <c r="AN13" s="214">
        <v>489</v>
      </c>
      <c r="AO13" s="214">
        <v>515</v>
      </c>
      <c r="AP13" s="214">
        <v>499</v>
      </c>
      <c r="AQ13" s="214">
        <v>210</v>
      </c>
      <c r="AR13" s="214">
        <v>221</v>
      </c>
      <c r="AS13" s="208">
        <v>239</v>
      </c>
    </row>
    <row r="14" spans="1:92" s="228" customFormat="1" ht="15" customHeight="1" x14ac:dyDescent="0.2">
      <c r="A14" s="226" t="s">
        <v>488</v>
      </c>
      <c r="B14" s="227">
        <v>76</v>
      </c>
      <c r="C14" s="227">
        <v>73</v>
      </c>
      <c r="D14" s="227">
        <v>70</v>
      </c>
      <c r="E14" s="227">
        <v>71</v>
      </c>
      <c r="F14" s="227">
        <v>76</v>
      </c>
      <c r="G14" s="227">
        <v>82</v>
      </c>
      <c r="H14" s="214">
        <v>80</v>
      </c>
      <c r="I14" s="214">
        <v>85</v>
      </c>
      <c r="J14" s="214">
        <v>97</v>
      </c>
      <c r="K14" s="214">
        <v>102</v>
      </c>
      <c r="L14" s="214">
        <v>107</v>
      </c>
      <c r="M14" s="214">
        <v>105</v>
      </c>
      <c r="N14" s="214">
        <v>107</v>
      </c>
      <c r="O14" s="214">
        <v>107</v>
      </c>
      <c r="P14" s="214">
        <v>109</v>
      </c>
      <c r="Q14" s="214">
        <v>106</v>
      </c>
      <c r="R14" s="214">
        <v>100</v>
      </c>
      <c r="S14" s="214">
        <v>98</v>
      </c>
      <c r="T14" s="214">
        <v>96</v>
      </c>
      <c r="U14" s="214">
        <v>94</v>
      </c>
      <c r="V14" s="214">
        <v>83</v>
      </c>
      <c r="W14" s="214">
        <v>104</v>
      </c>
      <c r="X14" s="214">
        <v>120</v>
      </c>
      <c r="Y14" s="214">
        <v>186</v>
      </c>
      <c r="Z14" s="214">
        <v>189</v>
      </c>
      <c r="AA14" s="214">
        <v>204</v>
      </c>
      <c r="AB14" s="214">
        <v>213</v>
      </c>
      <c r="AC14" s="214">
        <v>222</v>
      </c>
      <c r="AD14" s="214">
        <v>238</v>
      </c>
      <c r="AE14" s="214">
        <v>256</v>
      </c>
      <c r="AF14" s="214">
        <v>260</v>
      </c>
      <c r="AG14" s="214">
        <v>278</v>
      </c>
      <c r="AH14" s="214">
        <v>266</v>
      </c>
      <c r="AI14" s="214">
        <v>286</v>
      </c>
      <c r="AJ14" s="214">
        <v>340</v>
      </c>
      <c r="AK14" s="214">
        <v>383</v>
      </c>
      <c r="AL14" s="214">
        <v>407</v>
      </c>
      <c r="AM14" s="214">
        <v>417</v>
      </c>
      <c r="AN14" s="214">
        <v>523</v>
      </c>
      <c r="AO14" s="214">
        <v>539</v>
      </c>
      <c r="AP14" s="214">
        <v>560</v>
      </c>
      <c r="AQ14" s="214">
        <v>580</v>
      </c>
      <c r="AR14" s="214">
        <v>600</v>
      </c>
      <c r="AS14" s="208">
        <v>608</v>
      </c>
    </row>
    <row r="15" spans="1:92" s="228" customFormat="1" ht="15" customHeight="1" x14ac:dyDescent="0.2">
      <c r="A15" s="226" t="s">
        <v>489</v>
      </c>
      <c r="B15" s="227">
        <v>106</v>
      </c>
      <c r="C15" s="227">
        <v>129</v>
      </c>
      <c r="D15" s="227">
        <v>151</v>
      </c>
      <c r="E15" s="227">
        <v>223</v>
      </c>
      <c r="F15" s="227">
        <v>3</v>
      </c>
      <c r="G15" s="227">
        <v>27</v>
      </c>
      <c r="H15" s="214">
        <v>22</v>
      </c>
      <c r="I15" s="214">
        <v>7</v>
      </c>
      <c r="J15" s="214">
        <v>15</v>
      </c>
      <c r="K15" s="214">
        <v>12</v>
      </c>
      <c r="L15" s="214">
        <v>16</v>
      </c>
      <c r="M15" s="214">
        <v>13</v>
      </c>
      <c r="N15" s="214">
        <v>14</v>
      </c>
      <c r="O15" s="214">
        <v>16</v>
      </c>
      <c r="P15" s="214">
        <v>18</v>
      </c>
      <c r="Q15" s="214">
        <v>59</v>
      </c>
      <c r="R15" s="214">
        <v>117</v>
      </c>
      <c r="S15" s="214">
        <v>122</v>
      </c>
      <c r="T15" s="214">
        <v>20</v>
      </c>
      <c r="U15" s="214">
        <v>16</v>
      </c>
      <c r="V15" s="214">
        <v>17</v>
      </c>
      <c r="W15" s="214">
        <v>15</v>
      </c>
      <c r="X15" s="214">
        <v>13</v>
      </c>
      <c r="Y15" s="214">
        <v>15</v>
      </c>
      <c r="Z15" s="214">
        <v>196</v>
      </c>
      <c r="AA15" s="214">
        <v>30</v>
      </c>
      <c r="AB15" s="214">
        <v>13</v>
      </c>
      <c r="AC15" s="214">
        <v>183</v>
      </c>
      <c r="AD15" s="214">
        <v>16</v>
      </c>
      <c r="AE15" s="214">
        <v>6</v>
      </c>
      <c r="AF15" s="214">
        <v>4</v>
      </c>
      <c r="AG15" s="214">
        <v>217</v>
      </c>
      <c r="AH15" s="214">
        <v>2154</v>
      </c>
      <c r="AI15" s="214">
        <v>2411</v>
      </c>
      <c r="AJ15" s="214">
        <v>6845</v>
      </c>
      <c r="AK15" s="214">
        <v>6649</v>
      </c>
      <c r="AL15" s="214">
        <v>5566</v>
      </c>
      <c r="AM15" s="214">
        <v>4714</v>
      </c>
      <c r="AN15" s="214">
        <v>5244</v>
      </c>
      <c r="AO15" s="214">
        <v>4884</v>
      </c>
      <c r="AP15" s="214">
        <v>4853</v>
      </c>
      <c r="AQ15" s="214">
        <v>4639</v>
      </c>
      <c r="AR15" s="214">
        <v>4065</v>
      </c>
      <c r="AS15" s="208">
        <v>3704</v>
      </c>
    </row>
    <row r="16" spans="1:92" s="228" customFormat="1" ht="15" customHeight="1" x14ac:dyDescent="0.2">
      <c r="A16" s="226" t="s">
        <v>490</v>
      </c>
      <c r="B16" s="227">
        <v>812</v>
      </c>
      <c r="C16" s="227">
        <v>805</v>
      </c>
      <c r="D16" s="227">
        <v>957</v>
      </c>
      <c r="E16" s="227">
        <v>945</v>
      </c>
      <c r="F16" s="227">
        <v>906</v>
      </c>
      <c r="G16" s="227">
        <v>858</v>
      </c>
      <c r="H16" s="214">
        <v>834</v>
      </c>
      <c r="I16" s="214">
        <v>894</v>
      </c>
      <c r="J16" s="214">
        <v>855</v>
      </c>
      <c r="K16" s="214">
        <v>806</v>
      </c>
      <c r="L16" s="214">
        <v>761</v>
      </c>
      <c r="M16" s="214">
        <v>725</v>
      </c>
      <c r="N16" s="214">
        <v>686</v>
      </c>
      <c r="O16" s="214">
        <v>644</v>
      </c>
      <c r="P16" s="214">
        <v>599</v>
      </c>
      <c r="Q16" s="214">
        <v>601</v>
      </c>
      <c r="R16" s="214">
        <v>539</v>
      </c>
      <c r="S16" s="214">
        <v>491</v>
      </c>
      <c r="T16" s="214">
        <v>463</v>
      </c>
      <c r="U16" s="214">
        <v>411</v>
      </c>
      <c r="V16" s="214">
        <v>392</v>
      </c>
      <c r="W16" s="214">
        <v>373</v>
      </c>
      <c r="X16" s="214">
        <v>354</v>
      </c>
      <c r="Y16" s="214">
        <v>357</v>
      </c>
      <c r="Z16" s="214">
        <v>338</v>
      </c>
      <c r="AA16" s="214">
        <v>328</v>
      </c>
      <c r="AB16" s="214">
        <v>321</v>
      </c>
      <c r="AC16" s="214">
        <v>777</v>
      </c>
      <c r="AD16" s="214">
        <v>303</v>
      </c>
      <c r="AE16" s="214">
        <v>295</v>
      </c>
      <c r="AF16" s="214">
        <v>287</v>
      </c>
      <c r="AG16" s="214">
        <v>278</v>
      </c>
      <c r="AH16" s="214">
        <v>277</v>
      </c>
      <c r="AI16" s="214">
        <v>282</v>
      </c>
      <c r="AJ16" s="214">
        <v>284</v>
      </c>
      <c r="AK16" s="214">
        <v>256</v>
      </c>
      <c r="AL16" s="214">
        <v>257</v>
      </c>
      <c r="AM16" s="214">
        <v>258</v>
      </c>
      <c r="AN16" s="214">
        <v>451</v>
      </c>
      <c r="AO16" s="214">
        <v>561</v>
      </c>
      <c r="AP16" s="214">
        <v>564</v>
      </c>
      <c r="AQ16" s="214">
        <v>547</v>
      </c>
      <c r="AR16" s="214">
        <v>549</v>
      </c>
      <c r="AS16" s="208">
        <v>411</v>
      </c>
    </row>
    <row r="17" spans="1:45" s="228" customFormat="1" ht="15" customHeight="1" x14ac:dyDescent="0.2">
      <c r="A17" s="226" t="s">
        <v>491</v>
      </c>
      <c r="B17" s="227">
        <v>97</v>
      </c>
      <c r="C17" s="227">
        <v>193</v>
      </c>
      <c r="D17" s="227">
        <v>288</v>
      </c>
      <c r="E17" s="227">
        <v>0</v>
      </c>
      <c r="F17" s="227">
        <v>120</v>
      </c>
      <c r="G17" s="227">
        <v>292</v>
      </c>
      <c r="H17" s="214">
        <v>477</v>
      </c>
      <c r="I17" s="214">
        <v>0</v>
      </c>
      <c r="J17" s="214">
        <v>179</v>
      </c>
      <c r="K17" s="214">
        <v>363</v>
      </c>
      <c r="L17" s="214">
        <v>388</v>
      </c>
      <c r="M17" s="214">
        <v>0</v>
      </c>
      <c r="N17" s="214">
        <v>209</v>
      </c>
      <c r="O17" s="214">
        <v>232</v>
      </c>
      <c r="P17" s="214">
        <v>455</v>
      </c>
      <c r="Q17" s="214">
        <v>0</v>
      </c>
      <c r="R17" s="214">
        <v>286</v>
      </c>
      <c r="S17" s="214">
        <v>332</v>
      </c>
      <c r="T17" s="214">
        <v>631</v>
      </c>
      <c r="U17" s="214">
        <v>0</v>
      </c>
      <c r="V17" s="214">
        <v>311</v>
      </c>
      <c r="W17" s="214">
        <v>318</v>
      </c>
      <c r="X17" s="214">
        <v>593</v>
      </c>
      <c r="Y17" s="214">
        <v>0</v>
      </c>
      <c r="Z17" s="214">
        <v>226</v>
      </c>
      <c r="AA17" s="214">
        <v>127</v>
      </c>
      <c r="AB17" s="214">
        <v>340</v>
      </c>
      <c r="AC17" s="214">
        <v>0</v>
      </c>
      <c r="AD17" s="214">
        <v>256</v>
      </c>
      <c r="AE17" s="214">
        <v>428</v>
      </c>
      <c r="AF17" s="214">
        <v>780</v>
      </c>
      <c r="AG17" s="214">
        <v>0</v>
      </c>
      <c r="AH17" s="214">
        <v>343</v>
      </c>
      <c r="AI17" s="214">
        <v>590</v>
      </c>
      <c r="AJ17" s="214">
        <v>1193</v>
      </c>
      <c r="AK17" s="214">
        <v>0</v>
      </c>
      <c r="AL17" s="214">
        <v>530</v>
      </c>
      <c r="AM17" s="214">
        <v>603</v>
      </c>
      <c r="AN17" s="214">
        <v>0</v>
      </c>
      <c r="AO17" s="214">
        <v>0</v>
      </c>
      <c r="AP17" s="214">
        <v>689</v>
      </c>
      <c r="AQ17" s="214">
        <v>489</v>
      </c>
      <c r="AR17" s="214">
        <v>1144</v>
      </c>
      <c r="AS17" s="208">
        <v>0</v>
      </c>
    </row>
    <row r="18" spans="1:45" s="228" customFormat="1" ht="15" customHeight="1" x14ac:dyDescent="0.2">
      <c r="A18" s="226" t="s">
        <v>91</v>
      </c>
      <c r="B18" s="227">
        <v>175</v>
      </c>
      <c r="C18" s="227">
        <v>205</v>
      </c>
      <c r="D18" s="227">
        <v>300</v>
      </c>
      <c r="E18" s="227">
        <v>226</v>
      </c>
      <c r="F18" s="227">
        <v>298</v>
      </c>
      <c r="G18" s="227">
        <v>388</v>
      </c>
      <c r="H18" s="214">
        <f>507-13</f>
        <v>494</v>
      </c>
      <c r="I18" s="214">
        <f>1269+81</f>
        <v>1350</v>
      </c>
      <c r="J18" s="214">
        <f>1528+88</f>
        <v>1616</v>
      </c>
      <c r="K18" s="214">
        <f>1542+92</f>
        <v>1634</v>
      </c>
      <c r="L18" s="214">
        <f>1645+92</f>
        <v>1737</v>
      </c>
      <c r="M18" s="214">
        <f>1791+90</f>
        <v>1881</v>
      </c>
      <c r="N18" s="214">
        <f>1873+106</f>
        <v>1979</v>
      </c>
      <c r="O18" s="214">
        <f>1902+99</f>
        <v>2001</v>
      </c>
      <c r="P18" s="214">
        <f>2027+85</f>
        <v>2112</v>
      </c>
      <c r="Q18" s="214">
        <f>1864+77</f>
        <v>1941</v>
      </c>
      <c r="R18" s="214">
        <f>1894+77</f>
        <v>1971</v>
      </c>
      <c r="S18" s="214">
        <f>2082+79</f>
        <v>2161</v>
      </c>
      <c r="T18" s="214">
        <f>1248+69</f>
        <v>1317</v>
      </c>
      <c r="U18" s="214">
        <v>1192</v>
      </c>
      <c r="V18" s="214">
        <v>1437</v>
      </c>
      <c r="W18" s="214">
        <v>1655</v>
      </c>
      <c r="X18" s="214">
        <v>1578</v>
      </c>
      <c r="Y18" s="214">
        <v>1698</v>
      </c>
      <c r="Z18" s="214">
        <v>1909</v>
      </c>
      <c r="AA18" s="214">
        <v>2968</v>
      </c>
      <c r="AB18" s="214">
        <v>2651</v>
      </c>
      <c r="AC18" s="214">
        <v>2097</v>
      </c>
      <c r="AD18" s="214">
        <v>2164</v>
      </c>
      <c r="AE18" s="214">
        <v>2609</v>
      </c>
      <c r="AF18" s="214">
        <v>2547</v>
      </c>
      <c r="AG18" s="214">
        <v>2530</v>
      </c>
      <c r="AH18" s="214">
        <v>2511</v>
      </c>
      <c r="AI18" s="214">
        <v>2704</v>
      </c>
      <c r="AJ18" s="214">
        <v>3611</v>
      </c>
      <c r="AK18" s="214">
        <v>3402</v>
      </c>
      <c r="AL18" s="214">
        <v>3288</v>
      </c>
      <c r="AM18" s="214">
        <v>3926</v>
      </c>
      <c r="AN18" s="214">
        <v>4533</v>
      </c>
      <c r="AO18" s="214">
        <f>4749+7</f>
        <v>4756</v>
      </c>
      <c r="AP18" s="214">
        <v>4340</v>
      </c>
      <c r="AQ18" s="214">
        <v>4339</v>
      </c>
      <c r="AR18" s="214">
        <v>5002</v>
      </c>
      <c r="AS18" s="208">
        <v>5034</v>
      </c>
    </row>
    <row r="19" spans="1:45" ht="5.0999999999999996" customHeight="1" x14ac:dyDescent="0.2">
      <c r="A19" s="4"/>
      <c r="B19" s="127"/>
      <c r="C19" s="127"/>
      <c r="D19" s="127"/>
      <c r="E19" s="127"/>
      <c r="F19" s="127"/>
      <c r="G19" s="127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6"/>
      <c r="AL19" s="6"/>
      <c r="AM19" s="6"/>
      <c r="AN19" s="6"/>
      <c r="AO19" s="6"/>
      <c r="AP19" s="6"/>
      <c r="AQ19" s="6"/>
      <c r="AR19" s="6"/>
      <c r="AS19" s="189"/>
    </row>
    <row r="20" spans="1:45" s="232" customFormat="1" ht="15" customHeight="1" x14ac:dyDescent="0.2">
      <c r="A20" s="229" t="s">
        <v>492</v>
      </c>
      <c r="B20" s="230">
        <f t="shared" ref="B20:AM20" si="0">SUM(B10:B18)</f>
        <v>6188</v>
      </c>
      <c r="C20" s="230">
        <f t="shared" si="0"/>
        <v>6657</v>
      </c>
      <c r="D20" s="230">
        <f t="shared" si="0"/>
        <v>7326</v>
      </c>
      <c r="E20" s="230">
        <f t="shared" si="0"/>
        <v>7252</v>
      </c>
      <c r="F20" s="230">
        <f t="shared" si="0"/>
        <v>7846</v>
      </c>
      <c r="G20" s="230">
        <f t="shared" si="0"/>
        <v>8509</v>
      </c>
      <c r="H20" s="231">
        <f t="shared" si="0"/>
        <v>9412</v>
      </c>
      <c r="I20" s="231">
        <f t="shared" si="0"/>
        <v>11486</v>
      </c>
      <c r="J20" s="231">
        <f t="shared" si="0"/>
        <v>12144</v>
      </c>
      <c r="K20" s="231">
        <f t="shared" si="0"/>
        <v>13173</v>
      </c>
      <c r="L20" s="231">
        <f t="shared" si="0"/>
        <v>14628</v>
      </c>
      <c r="M20" s="231">
        <f t="shared" si="0"/>
        <v>14252</v>
      </c>
      <c r="N20" s="231">
        <f t="shared" si="0"/>
        <v>15108</v>
      </c>
      <c r="O20" s="231">
        <f t="shared" si="0"/>
        <v>15766</v>
      </c>
      <c r="P20" s="231">
        <f t="shared" si="0"/>
        <v>16062</v>
      </c>
      <c r="Q20" s="231">
        <f t="shared" si="0"/>
        <v>16334</v>
      </c>
      <c r="R20" s="231">
        <f t="shared" si="0"/>
        <v>17495</v>
      </c>
      <c r="S20" s="231">
        <f t="shared" si="0"/>
        <v>18950</v>
      </c>
      <c r="T20" s="231">
        <f t="shared" si="0"/>
        <v>20295</v>
      </c>
      <c r="U20" s="231">
        <f t="shared" si="0"/>
        <v>19391</v>
      </c>
      <c r="V20" s="231">
        <f t="shared" si="0"/>
        <v>20277</v>
      </c>
      <c r="W20" s="231">
        <f t="shared" si="0"/>
        <v>22075</v>
      </c>
      <c r="X20" s="231">
        <f t="shared" si="0"/>
        <v>22650</v>
      </c>
      <c r="Y20" s="231">
        <f t="shared" si="0"/>
        <v>22256</v>
      </c>
      <c r="Z20" s="231">
        <f t="shared" si="0"/>
        <v>24270</v>
      </c>
      <c r="AA20" s="231">
        <f t="shared" si="0"/>
        <v>26262</v>
      </c>
      <c r="AB20" s="231">
        <f t="shared" si="0"/>
        <v>26827</v>
      </c>
      <c r="AC20" s="231">
        <f t="shared" si="0"/>
        <v>23978</v>
      </c>
      <c r="AD20" s="231">
        <f t="shared" si="0"/>
        <v>24123</v>
      </c>
      <c r="AE20" s="231">
        <f t="shared" si="0"/>
        <v>25957</v>
      </c>
      <c r="AF20" s="231">
        <f t="shared" si="0"/>
        <v>27067</v>
      </c>
      <c r="AG20" s="231">
        <f t="shared" si="0"/>
        <v>26647</v>
      </c>
      <c r="AH20" s="231">
        <f t="shared" si="0"/>
        <v>30191</v>
      </c>
      <c r="AI20" s="231">
        <f t="shared" si="0"/>
        <v>31424</v>
      </c>
      <c r="AJ20" s="231">
        <f t="shared" si="0"/>
        <v>41436</v>
      </c>
      <c r="AK20" s="231">
        <f t="shared" si="0"/>
        <v>41027</v>
      </c>
      <c r="AL20" s="231">
        <f t="shared" si="0"/>
        <v>41649</v>
      </c>
      <c r="AM20" s="231">
        <f t="shared" si="0"/>
        <v>41543</v>
      </c>
      <c r="AN20" s="231">
        <f>SUM(AN10:AN18)</f>
        <v>43221</v>
      </c>
      <c r="AO20" s="231">
        <f>SUM(AO10:AO18)</f>
        <v>44626</v>
      </c>
      <c r="AP20" s="231">
        <f>SUM(AP10:AP18)</f>
        <v>46782</v>
      </c>
      <c r="AQ20" s="231">
        <f>SUM(AQ10:AQ18)</f>
        <v>48482.21</v>
      </c>
      <c r="AR20" s="231">
        <f>SUM(AR10:AR18)</f>
        <v>50050</v>
      </c>
      <c r="AS20" s="420">
        <f t="shared" ref="AS20" si="1">SUM(AS10:AS18)</f>
        <v>47249</v>
      </c>
    </row>
    <row r="21" spans="1:45" ht="5.0999999999999996" customHeight="1" x14ac:dyDescent="0.2">
      <c r="A21" s="4"/>
      <c r="B21" s="127"/>
      <c r="C21" s="127"/>
      <c r="D21" s="127"/>
      <c r="E21" s="127"/>
      <c r="F21" s="127"/>
      <c r="G21" s="127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189"/>
    </row>
    <row r="22" spans="1:45" s="228" customFormat="1" ht="15" customHeight="1" x14ac:dyDescent="0.2">
      <c r="A22" s="226" t="s">
        <v>493</v>
      </c>
      <c r="B22" s="227">
        <v>677</v>
      </c>
      <c r="C22" s="227">
        <v>666</v>
      </c>
      <c r="D22" s="227">
        <v>812</v>
      </c>
      <c r="E22" s="227">
        <v>761</v>
      </c>
      <c r="F22" s="227">
        <v>753</v>
      </c>
      <c r="G22" s="227">
        <v>775</v>
      </c>
      <c r="H22" s="214">
        <v>918</v>
      </c>
      <c r="I22" s="214">
        <v>830</v>
      </c>
      <c r="J22" s="214">
        <v>1198</v>
      </c>
      <c r="K22" s="214">
        <v>1119</v>
      </c>
      <c r="L22" s="214">
        <v>1095</v>
      </c>
      <c r="M22" s="214">
        <v>813</v>
      </c>
      <c r="N22" s="214">
        <v>1058</v>
      </c>
      <c r="O22" s="214">
        <v>1014</v>
      </c>
      <c r="P22" s="214">
        <v>761</v>
      </c>
      <c r="Q22" s="214">
        <v>719</v>
      </c>
      <c r="R22" s="214">
        <v>513</v>
      </c>
      <c r="S22" s="214">
        <v>407</v>
      </c>
      <c r="T22" s="214">
        <v>426</v>
      </c>
      <c r="U22" s="214">
        <v>513</v>
      </c>
      <c r="V22" s="214">
        <v>286</v>
      </c>
      <c r="W22" s="214">
        <v>415</v>
      </c>
      <c r="X22" s="214">
        <v>339</v>
      </c>
      <c r="Y22" s="214">
        <v>1536</v>
      </c>
      <c r="Z22" s="214">
        <v>1326</v>
      </c>
      <c r="AA22" s="214">
        <v>1234</v>
      </c>
      <c r="AB22" s="214">
        <v>1094</v>
      </c>
      <c r="AC22" s="214">
        <v>3883</v>
      </c>
      <c r="AD22" s="214">
        <v>3568</v>
      </c>
      <c r="AE22" s="214">
        <v>2929</v>
      </c>
      <c r="AF22" s="214">
        <v>3004</v>
      </c>
      <c r="AG22" s="214">
        <v>4150</v>
      </c>
      <c r="AH22" s="214">
        <v>5280</v>
      </c>
      <c r="AI22" s="214">
        <v>3774</v>
      </c>
      <c r="AJ22" s="214">
        <v>7114</v>
      </c>
      <c r="AK22" s="214">
        <v>5387</v>
      </c>
      <c r="AL22" s="214">
        <v>3835</v>
      </c>
      <c r="AM22" s="214">
        <v>2790</v>
      </c>
      <c r="AN22" s="214">
        <v>5192</v>
      </c>
      <c r="AO22" s="214">
        <v>4886</v>
      </c>
      <c r="AP22" s="214">
        <v>4048</v>
      </c>
      <c r="AQ22" s="214">
        <v>4245</v>
      </c>
      <c r="AR22" s="214">
        <v>3631</v>
      </c>
      <c r="AS22" s="208">
        <v>4670</v>
      </c>
    </row>
    <row r="23" spans="1:45" s="228" customFormat="1" ht="15" customHeight="1" x14ac:dyDescent="0.2">
      <c r="A23" s="226" t="s">
        <v>495</v>
      </c>
      <c r="B23" s="227">
        <v>0</v>
      </c>
      <c r="C23" s="227">
        <v>0</v>
      </c>
      <c r="D23" s="227">
        <v>0</v>
      </c>
      <c r="E23" s="227">
        <v>248</v>
      </c>
      <c r="F23" s="227">
        <v>247</v>
      </c>
      <c r="G23" s="227">
        <v>245</v>
      </c>
      <c r="H23" s="214">
        <v>286</v>
      </c>
      <c r="I23" s="214">
        <v>539</v>
      </c>
      <c r="J23" s="214">
        <v>437</v>
      </c>
      <c r="K23" s="214">
        <v>307</v>
      </c>
      <c r="L23" s="214">
        <v>325</v>
      </c>
      <c r="M23" s="214">
        <v>306</v>
      </c>
      <c r="N23" s="214">
        <v>121</v>
      </c>
      <c r="O23" s="214">
        <v>22</v>
      </c>
      <c r="P23" s="214">
        <v>12</v>
      </c>
      <c r="Q23" s="214">
        <v>20</v>
      </c>
      <c r="R23" s="214">
        <v>46</v>
      </c>
      <c r="S23" s="214">
        <v>97</v>
      </c>
      <c r="T23" s="214">
        <v>0</v>
      </c>
      <c r="U23" s="214">
        <v>0</v>
      </c>
      <c r="V23" s="214">
        <v>126</v>
      </c>
      <c r="W23" s="214">
        <v>32</v>
      </c>
      <c r="X23" s="214">
        <v>2</v>
      </c>
      <c r="Y23" s="214">
        <v>161</v>
      </c>
      <c r="Z23" s="214">
        <v>162</v>
      </c>
      <c r="AA23" s="214">
        <v>162</v>
      </c>
      <c r="AB23" s="214">
        <v>162</v>
      </c>
      <c r="AC23" s="214">
        <v>162</v>
      </c>
      <c r="AD23" s="214">
        <v>162</v>
      </c>
      <c r="AE23" s="214">
        <v>146</v>
      </c>
      <c r="AF23" s="214">
        <v>415</v>
      </c>
      <c r="AG23" s="214">
        <v>382</v>
      </c>
      <c r="AH23" s="214">
        <v>546</v>
      </c>
      <c r="AI23" s="214">
        <v>383</v>
      </c>
      <c r="AJ23" s="214">
        <v>653</v>
      </c>
      <c r="AK23" s="214">
        <v>387</v>
      </c>
      <c r="AL23" s="214">
        <v>661</v>
      </c>
      <c r="AM23" s="214">
        <v>664</v>
      </c>
      <c r="AN23" s="214">
        <v>564</v>
      </c>
      <c r="AO23" s="214">
        <v>738</v>
      </c>
      <c r="AP23" s="214">
        <v>687</v>
      </c>
      <c r="AQ23" s="214">
        <v>449</v>
      </c>
      <c r="AR23" s="214">
        <v>437</v>
      </c>
      <c r="AS23" s="208">
        <v>437</v>
      </c>
    </row>
    <row r="24" spans="1:45" ht="5.0999999999999996" customHeight="1" x14ac:dyDescent="0.2">
      <c r="A24" s="226"/>
      <c r="B24" s="127"/>
      <c r="C24" s="127"/>
      <c r="D24" s="127"/>
      <c r="E24" s="127"/>
      <c r="F24" s="127"/>
      <c r="G24" s="127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189"/>
    </row>
    <row r="25" spans="1:45" s="232" customFormat="1" ht="15" customHeight="1" x14ac:dyDescent="0.2">
      <c r="A25" s="229" t="s">
        <v>7</v>
      </c>
      <c r="B25" s="230">
        <f t="shared" ref="B25:AL25" si="2">B20+B22+B23</f>
        <v>6865</v>
      </c>
      <c r="C25" s="230">
        <f t="shared" si="2"/>
        <v>7323</v>
      </c>
      <c r="D25" s="230">
        <f t="shared" si="2"/>
        <v>8138</v>
      </c>
      <c r="E25" s="230">
        <f t="shared" si="2"/>
        <v>8261</v>
      </c>
      <c r="F25" s="230">
        <f t="shared" si="2"/>
        <v>8846</v>
      </c>
      <c r="G25" s="230">
        <f t="shared" si="2"/>
        <v>9529</v>
      </c>
      <c r="H25" s="231">
        <f t="shared" si="2"/>
        <v>10616</v>
      </c>
      <c r="I25" s="231">
        <f t="shared" si="2"/>
        <v>12855</v>
      </c>
      <c r="J25" s="231">
        <f t="shared" si="2"/>
        <v>13779</v>
      </c>
      <c r="K25" s="231">
        <f t="shared" si="2"/>
        <v>14599</v>
      </c>
      <c r="L25" s="231">
        <f t="shared" si="2"/>
        <v>16048</v>
      </c>
      <c r="M25" s="231">
        <f t="shared" si="2"/>
        <v>15371</v>
      </c>
      <c r="N25" s="231">
        <f t="shared" si="2"/>
        <v>16287</v>
      </c>
      <c r="O25" s="231">
        <f t="shared" si="2"/>
        <v>16802</v>
      </c>
      <c r="P25" s="231">
        <f t="shared" si="2"/>
        <v>16835</v>
      </c>
      <c r="Q25" s="231">
        <f t="shared" si="2"/>
        <v>17073</v>
      </c>
      <c r="R25" s="231">
        <f t="shared" si="2"/>
        <v>18054</v>
      </c>
      <c r="S25" s="231">
        <f t="shared" si="2"/>
        <v>19454</v>
      </c>
      <c r="T25" s="231">
        <f t="shared" si="2"/>
        <v>20721</v>
      </c>
      <c r="U25" s="231">
        <f t="shared" si="2"/>
        <v>19904</v>
      </c>
      <c r="V25" s="231">
        <f t="shared" si="2"/>
        <v>20689</v>
      </c>
      <c r="W25" s="231">
        <f t="shared" si="2"/>
        <v>22522</v>
      </c>
      <c r="X25" s="231">
        <f t="shared" si="2"/>
        <v>22991</v>
      </c>
      <c r="Y25" s="231">
        <f t="shared" si="2"/>
        <v>23953</v>
      </c>
      <c r="Z25" s="231">
        <f t="shared" si="2"/>
        <v>25758</v>
      </c>
      <c r="AA25" s="231">
        <f t="shared" si="2"/>
        <v>27658</v>
      </c>
      <c r="AB25" s="231">
        <f t="shared" si="2"/>
        <v>28083</v>
      </c>
      <c r="AC25" s="231">
        <f t="shared" si="2"/>
        <v>28023</v>
      </c>
      <c r="AD25" s="231">
        <f t="shared" si="2"/>
        <v>27853</v>
      </c>
      <c r="AE25" s="231">
        <f t="shared" si="2"/>
        <v>29032</v>
      </c>
      <c r="AF25" s="231">
        <f t="shared" si="2"/>
        <v>30486</v>
      </c>
      <c r="AG25" s="231">
        <f t="shared" si="2"/>
        <v>31179</v>
      </c>
      <c r="AH25" s="231">
        <f t="shared" si="2"/>
        <v>36017</v>
      </c>
      <c r="AI25" s="231">
        <f t="shared" si="2"/>
        <v>35581</v>
      </c>
      <c r="AJ25" s="231">
        <f t="shared" si="2"/>
        <v>49203</v>
      </c>
      <c r="AK25" s="231">
        <f t="shared" si="2"/>
        <v>46801</v>
      </c>
      <c r="AL25" s="231">
        <f t="shared" si="2"/>
        <v>46145</v>
      </c>
      <c r="AM25" s="231">
        <f t="shared" ref="AM25:AS25" si="3">AM20+AM22+AM23</f>
        <v>44997</v>
      </c>
      <c r="AN25" s="231">
        <f t="shared" si="3"/>
        <v>48977</v>
      </c>
      <c r="AO25" s="231">
        <f t="shared" si="3"/>
        <v>50250</v>
      </c>
      <c r="AP25" s="231">
        <f t="shared" si="3"/>
        <v>51517</v>
      </c>
      <c r="AQ25" s="231">
        <f t="shared" si="3"/>
        <v>53176.21</v>
      </c>
      <c r="AR25" s="231">
        <f t="shared" si="3"/>
        <v>54118</v>
      </c>
      <c r="AS25" s="420">
        <f t="shared" si="3"/>
        <v>52356</v>
      </c>
    </row>
    <row r="26" spans="1:45" ht="5.0999999999999996" customHeight="1" x14ac:dyDescent="0.2">
      <c r="A26" s="4"/>
      <c r="B26" s="127"/>
      <c r="C26" s="127"/>
      <c r="D26" s="127"/>
      <c r="E26" s="127"/>
      <c r="F26" s="127"/>
      <c r="G26" s="127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189"/>
    </row>
    <row r="27" spans="1:45" s="228" customFormat="1" ht="15" customHeight="1" x14ac:dyDescent="0.2">
      <c r="A27" s="226" t="s">
        <v>637</v>
      </c>
      <c r="B27" s="227">
        <v>0</v>
      </c>
      <c r="C27" s="227">
        <v>0</v>
      </c>
      <c r="D27" s="227">
        <v>0</v>
      </c>
      <c r="E27" s="227">
        <v>0</v>
      </c>
      <c r="F27" s="227">
        <v>0</v>
      </c>
      <c r="G27" s="227">
        <v>0</v>
      </c>
      <c r="H27" s="214">
        <v>0</v>
      </c>
      <c r="I27" s="214">
        <v>434</v>
      </c>
      <c r="J27" s="214">
        <v>562</v>
      </c>
      <c r="K27" s="214">
        <v>377</v>
      </c>
      <c r="L27" s="214">
        <v>171</v>
      </c>
      <c r="M27" s="214">
        <v>52</v>
      </c>
      <c r="N27" s="214">
        <v>23</v>
      </c>
      <c r="O27" s="214">
        <v>235</v>
      </c>
      <c r="P27" s="214">
        <v>148</v>
      </c>
      <c r="Q27" s="214">
        <v>216</v>
      </c>
      <c r="R27" s="214">
        <v>213</v>
      </c>
      <c r="S27" s="214">
        <v>381</v>
      </c>
      <c r="T27" s="214">
        <v>793</v>
      </c>
      <c r="U27" s="214">
        <v>841</v>
      </c>
      <c r="V27" s="214">
        <f>325-1</f>
        <v>324</v>
      </c>
      <c r="W27" s="214">
        <v>443</v>
      </c>
      <c r="X27" s="214">
        <v>399</v>
      </c>
      <c r="Y27" s="214">
        <v>109</v>
      </c>
      <c r="Z27" s="214">
        <v>122</v>
      </c>
      <c r="AA27" s="214">
        <v>2016</v>
      </c>
      <c r="AB27" s="214">
        <v>2345</v>
      </c>
      <c r="AC27" s="214">
        <v>1241</v>
      </c>
      <c r="AD27" s="214">
        <v>1220</v>
      </c>
      <c r="AE27" s="214">
        <v>762</v>
      </c>
      <c r="AF27" s="214">
        <v>718</v>
      </c>
      <c r="AG27" s="214">
        <v>1055</v>
      </c>
      <c r="AH27" s="214">
        <v>1394</v>
      </c>
      <c r="AI27" s="214">
        <v>1389</v>
      </c>
      <c r="AJ27" s="214">
        <v>3053</v>
      </c>
      <c r="AK27" s="214">
        <v>2984</v>
      </c>
      <c r="AL27" s="214">
        <v>2185</v>
      </c>
      <c r="AM27" s="214">
        <v>2131</v>
      </c>
      <c r="AN27" s="214">
        <v>1933</v>
      </c>
      <c r="AO27" s="214">
        <v>1308</v>
      </c>
      <c r="AP27" s="214">
        <v>520</v>
      </c>
      <c r="AQ27" s="214">
        <v>719</v>
      </c>
      <c r="AR27" s="214">
        <v>450</v>
      </c>
      <c r="AS27" s="208">
        <v>558</v>
      </c>
    </row>
    <row r="28" spans="1:45" ht="5.0999999999999996" customHeight="1" x14ac:dyDescent="0.2">
      <c r="A28" s="226"/>
      <c r="B28" s="127"/>
      <c r="C28" s="127"/>
      <c r="D28" s="127"/>
      <c r="E28" s="127"/>
      <c r="F28" s="127"/>
      <c r="G28" s="127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189"/>
    </row>
    <row r="29" spans="1:45" s="228" customFormat="1" ht="15" customHeight="1" x14ac:dyDescent="0.2">
      <c r="A29" s="226" t="s">
        <v>496</v>
      </c>
      <c r="B29" s="227">
        <v>649</v>
      </c>
      <c r="C29" s="227">
        <v>571</v>
      </c>
      <c r="D29" s="227">
        <v>537</v>
      </c>
      <c r="E29" s="227">
        <v>506</v>
      </c>
      <c r="F29" s="227">
        <v>456</v>
      </c>
      <c r="G29" s="227">
        <v>388</v>
      </c>
      <c r="H29" s="214">
        <v>420</v>
      </c>
      <c r="I29" s="214">
        <v>414</v>
      </c>
      <c r="J29" s="214">
        <v>407</v>
      </c>
      <c r="K29" s="214">
        <v>381</v>
      </c>
      <c r="L29" s="214">
        <v>329</v>
      </c>
      <c r="M29" s="214">
        <v>270</v>
      </c>
      <c r="N29" s="214">
        <v>247</v>
      </c>
      <c r="O29" s="214">
        <v>236</v>
      </c>
      <c r="P29" s="214">
        <v>205</v>
      </c>
      <c r="Q29" s="214">
        <v>158</v>
      </c>
      <c r="R29" s="214">
        <v>152</v>
      </c>
      <c r="S29" s="214">
        <v>144</v>
      </c>
      <c r="T29" s="214">
        <v>145</v>
      </c>
      <c r="U29" s="214">
        <v>145</v>
      </c>
      <c r="V29" s="214">
        <v>141</v>
      </c>
      <c r="W29" s="214">
        <v>141</v>
      </c>
      <c r="X29" s="214">
        <v>141</v>
      </c>
      <c r="Y29" s="214">
        <v>141</v>
      </c>
      <c r="Z29" s="214">
        <v>141</v>
      </c>
      <c r="AA29" s="214">
        <v>141</v>
      </c>
      <c r="AB29" s="214">
        <v>141</v>
      </c>
      <c r="AC29" s="214">
        <v>141</v>
      </c>
      <c r="AD29" s="214">
        <v>141</v>
      </c>
      <c r="AE29" s="214">
        <v>141</v>
      </c>
      <c r="AF29" s="214">
        <v>114</v>
      </c>
      <c r="AG29" s="214">
        <v>114</v>
      </c>
      <c r="AH29" s="214">
        <v>114</v>
      </c>
      <c r="AI29" s="214">
        <v>114</v>
      </c>
      <c r="AJ29" s="214">
        <v>114</v>
      </c>
      <c r="AK29" s="214">
        <v>114</v>
      </c>
      <c r="AL29" s="214">
        <v>114</v>
      </c>
      <c r="AM29" s="214">
        <v>41</v>
      </c>
      <c r="AN29" s="214">
        <v>0</v>
      </c>
      <c r="AO29" s="214">
        <v>0</v>
      </c>
      <c r="AP29" s="214">
        <v>0</v>
      </c>
      <c r="AQ29" s="214">
        <v>0</v>
      </c>
      <c r="AR29" s="214">
        <v>0</v>
      </c>
      <c r="AS29" s="208">
        <v>0</v>
      </c>
    </row>
    <row r="30" spans="1:45" ht="5.0999999999999996" customHeight="1" x14ac:dyDescent="0.2">
      <c r="A30" s="4"/>
      <c r="B30" s="127"/>
      <c r="C30" s="127"/>
      <c r="D30" s="127"/>
      <c r="E30" s="127"/>
      <c r="F30" s="127"/>
      <c r="G30" s="127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189"/>
    </row>
    <row r="31" spans="1:45" s="232" customFormat="1" ht="15" customHeight="1" x14ac:dyDescent="0.2">
      <c r="A31" s="229" t="s">
        <v>494</v>
      </c>
      <c r="B31" s="230">
        <f t="shared" ref="B31:H31" si="4">B25+B29</f>
        <v>7514</v>
      </c>
      <c r="C31" s="230">
        <f t="shared" si="4"/>
        <v>7894</v>
      </c>
      <c r="D31" s="230">
        <f t="shared" si="4"/>
        <v>8675</v>
      </c>
      <c r="E31" s="230">
        <f t="shared" si="4"/>
        <v>8767</v>
      </c>
      <c r="F31" s="230">
        <f t="shared" si="4"/>
        <v>9302</v>
      </c>
      <c r="G31" s="230">
        <f t="shared" si="4"/>
        <v>9917</v>
      </c>
      <c r="H31" s="231">
        <f t="shared" si="4"/>
        <v>11036</v>
      </c>
      <c r="I31" s="231">
        <f t="shared" ref="I31:AL31" si="5">I25+I27+I29</f>
        <v>13703</v>
      </c>
      <c r="J31" s="231">
        <f t="shared" si="5"/>
        <v>14748</v>
      </c>
      <c r="K31" s="231">
        <f t="shared" si="5"/>
        <v>15357</v>
      </c>
      <c r="L31" s="231">
        <f t="shared" si="5"/>
        <v>16548</v>
      </c>
      <c r="M31" s="231">
        <f t="shared" si="5"/>
        <v>15693</v>
      </c>
      <c r="N31" s="231">
        <f t="shared" si="5"/>
        <v>16557</v>
      </c>
      <c r="O31" s="231">
        <f t="shared" si="5"/>
        <v>17273</v>
      </c>
      <c r="P31" s="231">
        <f t="shared" si="5"/>
        <v>17188</v>
      </c>
      <c r="Q31" s="231">
        <f t="shared" si="5"/>
        <v>17447</v>
      </c>
      <c r="R31" s="231">
        <f t="shared" si="5"/>
        <v>18419</v>
      </c>
      <c r="S31" s="231">
        <f t="shared" si="5"/>
        <v>19979</v>
      </c>
      <c r="T31" s="231">
        <f t="shared" si="5"/>
        <v>21659</v>
      </c>
      <c r="U31" s="231">
        <f t="shared" si="5"/>
        <v>20890</v>
      </c>
      <c r="V31" s="231">
        <f t="shared" si="5"/>
        <v>21154</v>
      </c>
      <c r="W31" s="231">
        <f t="shared" si="5"/>
        <v>23106</v>
      </c>
      <c r="X31" s="231">
        <f t="shared" si="5"/>
        <v>23531</v>
      </c>
      <c r="Y31" s="231">
        <f t="shared" si="5"/>
        <v>24203</v>
      </c>
      <c r="Z31" s="231">
        <f t="shared" si="5"/>
        <v>26021</v>
      </c>
      <c r="AA31" s="231">
        <f t="shared" si="5"/>
        <v>29815</v>
      </c>
      <c r="AB31" s="231">
        <f t="shared" si="5"/>
        <v>30569</v>
      </c>
      <c r="AC31" s="231">
        <f t="shared" si="5"/>
        <v>29405</v>
      </c>
      <c r="AD31" s="231">
        <f t="shared" si="5"/>
        <v>29214</v>
      </c>
      <c r="AE31" s="231">
        <f t="shared" si="5"/>
        <v>29935</v>
      </c>
      <c r="AF31" s="231">
        <f t="shared" si="5"/>
        <v>31318</v>
      </c>
      <c r="AG31" s="231">
        <f t="shared" si="5"/>
        <v>32348</v>
      </c>
      <c r="AH31" s="231">
        <f t="shared" si="5"/>
        <v>37525</v>
      </c>
      <c r="AI31" s="231">
        <f t="shared" si="5"/>
        <v>37084</v>
      </c>
      <c r="AJ31" s="231">
        <f t="shared" si="5"/>
        <v>52370</v>
      </c>
      <c r="AK31" s="231">
        <f t="shared" si="5"/>
        <v>49899</v>
      </c>
      <c r="AL31" s="231">
        <f t="shared" si="5"/>
        <v>48444</v>
      </c>
      <c r="AM31" s="231">
        <f t="shared" ref="AM31:AS31" si="6">AM25+AM27+AM29</f>
        <v>47169</v>
      </c>
      <c r="AN31" s="231">
        <f t="shared" si="6"/>
        <v>50910</v>
      </c>
      <c r="AO31" s="231">
        <f t="shared" si="6"/>
        <v>51558</v>
      </c>
      <c r="AP31" s="231">
        <f t="shared" si="6"/>
        <v>52037</v>
      </c>
      <c r="AQ31" s="231">
        <f t="shared" si="6"/>
        <v>53895.21</v>
      </c>
      <c r="AR31" s="231">
        <f t="shared" si="6"/>
        <v>54568</v>
      </c>
      <c r="AS31" s="420">
        <f t="shared" si="6"/>
        <v>52914</v>
      </c>
    </row>
    <row r="32" spans="1:45" ht="5.0999999999999996" customHeight="1" x14ac:dyDescent="0.2">
      <c r="A32" s="4"/>
      <c r="B32" s="127"/>
      <c r="C32" s="127"/>
      <c r="D32" s="127"/>
      <c r="E32" s="127"/>
      <c r="F32" s="127"/>
      <c r="G32" s="127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189"/>
    </row>
    <row r="33" spans="1:121" s="228" customFormat="1" ht="15" customHeight="1" x14ac:dyDescent="0.2">
      <c r="A33" s="226" t="s">
        <v>497</v>
      </c>
      <c r="B33" s="227">
        <v>1449</v>
      </c>
      <c r="C33" s="227">
        <v>1590</v>
      </c>
      <c r="D33" s="227">
        <v>1628</v>
      </c>
      <c r="E33" s="227">
        <v>1606</v>
      </c>
      <c r="F33" s="227">
        <v>1807</v>
      </c>
      <c r="G33" s="227">
        <v>1977</v>
      </c>
      <c r="H33" s="214">
        <v>2022</v>
      </c>
      <c r="I33" s="214">
        <v>2468</v>
      </c>
      <c r="J33" s="214">
        <v>3165</v>
      </c>
      <c r="K33" s="214">
        <v>3803</v>
      </c>
      <c r="L33" s="214">
        <v>4328</v>
      </c>
      <c r="M33" s="214">
        <v>3985</v>
      </c>
      <c r="N33" s="214">
        <v>4456</v>
      </c>
      <c r="O33" s="214">
        <v>4876</v>
      </c>
      <c r="P33" s="214">
        <v>5039</v>
      </c>
      <c r="Q33" s="214">
        <v>4791</v>
      </c>
      <c r="R33" s="214">
        <v>4961</v>
      </c>
      <c r="S33" s="214">
        <v>4810</v>
      </c>
      <c r="T33" s="214">
        <v>5147</v>
      </c>
      <c r="U33" s="214">
        <v>4825</v>
      </c>
      <c r="V33" s="214">
        <v>4483</v>
      </c>
      <c r="W33" s="214">
        <v>7533</v>
      </c>
      <c r="X33" s="214">
        <v>7276</v>
      </c>
      <c r="Y33" s="214">
        <v>7996</v>
      </c>
      <c r="Z33" s="214">
        <v>5888</v>
      </c>
      <c r="AA33" s="214">
        <v>4255</v>
      </c>
      <c r="AB33" s="214">
        <v>4131</v>
      </c>
      <c r="AC33" s="214">
        <v>3188</v>
      </c>
      <c r="AD33" s="214">
        <v>3324</v>
      </c>
      <c r="AE33" s="214">
        <v>3550</v>
      </c>
      <c r="AF33" s="214">
        <v>3240</v>
      </c>
      <c r="AG33" s="214">
        <v>3292</v>
      </c>
      <c r="AH33" s="214">
        <v>3298</v>
      </c>
      <c r="AI33" s="214">
        <v>3322</v>
      </c>
      <c r="AJ33" s="214">
        <v>3220</v>
      </c>
      <c r="AK33" s="214">
        <v>2862</v>
      </c>
      <c r="AL33" s="214">
        <v>3534</v>
      </c>
      <c r="AM33" s="214">
        <v>3724</v>
      </c>
      <c r="AN33" s="214">
        <v>3925</v>
      </c>
      <c r="AO33" s="214">
        <v>3277.89546857803</v>
      </c>
      <c r="AP33" s="214">
        <v>3879</v>
      </c>
      <c r="AQ33" s="214">
        <v>3677</v>
      </c>
      <c r="AR33" s="214">
        <v>5368</v>
      </c>
      <c r="AS33" s="208">
        <v>4565</v>
      </c>
    </row>
    <row r="34" spans="1:121" ht="4.5" customHeight="1" x14ac:dyDescent="0.2">
      <c r="A34" s="4"/>
      <c r="B34" s="127"/>
      <c r="C34" s="127"/>
      <c r="D34" s="127"/>
      <c r="E34" s="127"/>
      <c r="F34" s="127"/>
      <c r="G34" s="127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55"/>
      <c r="AT34" s="241"/>
      <c r="AU34" s="241"/>
      <c r="AV34" s="241"/>
      <c r="AW34" s="241"/>
      <c r="AX34" s="241"/>
      <c r="AY34" s="241"/>
      <c r="AZ34" s="241"/>
      <c r="BA34" s="241"/>
      <c r="BB34" s="241"/>
      <c r="BC34" s="241"/>
      <c r="BD34" s="241"/>
      <c r="BE34" s="241"/>
      <c r="BF34" s="241"/>
      <c r="BG34" s="241"/>
      <c r="BH34" s="241"/>
      <c r="BI34" s="241"/>
      <c r="BJ34" s="241"/>
      <c r="BK34" s="241"/>
      <c r="BL34" s="241"/>
      <c r="BM34" s="241"/>
      <c r="BN34" s="241"/>
      <c r="BO34" s="241"/>
      <c r="BP34" s="241"/>
      <c r="BQ34" s="241"/>
      <c r="BR34" s="241"/>
      <c r="BS34" s="241"/>
      <c r="BT34" s="241"/>
      <c r="BU34" s="241"/>
      <c r="BV34" s="241"/>
      <c r="BW34" s="241"/>
      <c r="BX34" s="241"/>
      <c r="BY34" s="241"/>
      <c r="BZ34" s="241"/>
      <c r="CA34" s="241"/>
      <c r="CB34" s="241"/>
      <c r="CC34" s="241"/>
      <c r="CD34" s="241"/>
      <c r="CE34" s="241"/>
      <c r="CF34" s="241"/>
      <c r="CG34" s="241"/>
      <c r="CH34" s="241"/>
      <c r="CI34" s="241"/>
      <c r="CJ34" s="241"/>
      <c r="CK34" s="241"/>
      <c r="CL34" s="241"/>
      <c r="CM34" s="241"/>
      <c r="CN34" s="241"/>
      <c r="CO34" s="241"/>
    </row>
    <row r="35" spans="1:121" s="178" customFormat="1" ht="15" customHeight="1" thickBot="1" x14ac:dyDescent="0.25">
      <c r="A35" s="175" t="s">
        <v>636</v>
      </c>
      <c r="B35" s="176">
        <f t="shared" ref="B35:AL35" si="7">B31-B33</f>
        <v>6065</v>
      </c>
      <c r="C35" s="176">
        <f t="shared" si="7"/>
        <v>6304</v>
      </c>
      <c r="D35" s="176">
        <f t="shared" si="7"/>
        <v>7047</v>
      </c>
      <c r="E35" s="176">
        <f t="shared" si="7"/>
        <v>7161</v>
      </c>
      <c r="F35" s="176">
        <f t="shared" si="7"/>
        <v>7495</v>
      </c>
      <c r="G35" s="176">
        <f t="shared" si="7"/>
        <v>7940</v>
      </c>
      <c r="H35" s="176">
        <f t="shared" si="7"/>
        <v>9014</v>
      </c>
      <c r="I35" s="176">
        <f t="shared" si="7"/>
        <v>11235</v>
      </c>
      <c r="J35" s="176">
        <f t="shared" si="7"/>
        <v>11583</v>
      </c>
      <c r="K35" s="176">
        <f t="shared" si="7"/>
        <v>11554</v>
      </c>
      <c r="L35" s="176">
        <f t="shared" si="7"/>
        <v>12220</v>
      </c>
      <c r="M35" s="176">
        <f t="shared" si="7"/>
        <v>11708</v>
      </c>
      <c r="N35" s="176">
        <f t="shared" si="7"/>
        <v>12101</v>
      </c>
      <c r="O35" s="176">
        <f t="shared" si="7"/>
        <v>12397</v>
      </c>
      <c r="P35" s="176">
        <f t="shared" si="7"/>
        <v>12149</v>
      </c>
      <c r="Q35" s="176">
        <f t="shared" si="7"/>
        <v>12656</v>
      </c>
      <c r="R35" s="176">
        <f t="shared" si="7"/>
        <v>13458</v>
      </c>
      <c r="S35" s="176">
        <f t="shared" si="7"/>
        <v>15169</v>
      </c>
      <c r="T35" s="176">
        <f t="shared" si="7"/>
        <v>16512</v>
      </c>
      <c r="U35" s="176">
        <f t="shared" si="7"/>
        <v>16065</v>
      </c>
      <c r="V35" s="176">
        <f t="shared" si="7"/>
        <v>16671</v>
      </c>
      <c r="W35" s="176">
        <f t="shared" si="7"/>
        <v>15573</v>
      </c>
      <c r="X35" s="176">
        <f t="shared" si="7"/>
        <v>16255</v>
      </c>
      <c r="Y35" s="176">
        <f t="shared" si="7"/>
        <v>16207</v>
      </c>
      <c r="Z35" s="176">
        <f t="shared" si="7"/>
        <v>20133</v>
      </c>
      <c r="AA35" s="176">
        <f t="shared" si="7"/>
        <v>25560</v>
      </c>
      <c r="AB35" s="176">
        <f t="shared" si="7"/>
        <v>26438</v>
      </c>
      <c r="AC35" s="176">
        <f t="shared" si="7"/>
        <v>26217</v>
      </c>
      <c r="AD35" s="176">
        <f t="shared" si="7"/>
        <v>25890</v>
      </c>
      <c r="AE35" s="176">
        <f t="shared" si="7"/>
        <v>26385</v>
      </c>
      <c r="AF35" s="176">
        <f t="shared" si="7"/>
        <v>28078</v>
      </c>
      <c r="AG35" s="176">
        <f t="shared" si="7"/>
        <v>29056</v>
      </c>
      <c r="AH35" s="176">
        <f t="shared" si="7"/>
        <v>34227</v>
      </c>
      <c r="AI35" s="176">
        <f t="shared" si="7"/>
        <v>33762</v>
      </c>
      <c r="AJ35" s="176">
        <f t="shared" si="7"/>
        <v>49150</v>
      </c>
      <c r="AK35" s="176">
        <f t="shared" si="7"/>
        <v>47037</v>
      </c>
      <c r="AL35" s="176">
        <f t="shared" si="7"/>
        <v>44910</v>
      </c>
      <c r="AM35" s="176">
        <f t="shared" ref="AM35:AR35" si="8">AM31-AM33</f>
        <v>43445</v>
      </c>
      <c r="AN35" s="176">
        <f t="shared" si="8"/>
        <v>46985</v>
      </c>
      <c r="AO35" s="176">
        <f t="shared" si="8"/>
        <v>48280.104531421966</v>
      </c>
      <c r="AP35" s="375">
        <f t="shared" si="8"/>
        <v>48158</v>
      </c>
      <c r="AQ35" s="375">
        <f t="shared" si="8"/>
        <v>50218.21</v>
      </c>
      <c r="AR35" s="375">
        <f t="shared" si="8"/>
        <v>49200</v>
      </c>
      <c r="AS35" s="375">
        <f t="shared" ref="AS35" si="9">AS31-AS33</f>
        <v>48349</v>
      </c>
      <c r="AT35" s="193"/>
      <c r="AU35" s="193"/>
      <c r="AV35" s="193"/>
      <c r="AW35" s="193"/>
      <c r="AX35" s="193"/>
      <c r="AY35" s="193"/>
      <c r="AZ35" s="193"/>
      <c r="BA35" s="193"/>
      <c r="BB35" s="193"/>
      <c r="BC35" s="193"/>
      <c r="BD35" s="193"/>
      <c r="BE35" s="193"/>
      <c r="BF35" s="193"/>
      <c r="BG35" s="193"/>
      <c r="BH35" s="193"/>
      <c r="BI35" s="193"/>
      <c r="BJ35" s="193"/>
      <c r="BK35" s="193"/>
      <c r="BL35" s="193"/>
      <c r="BM35" s="193"/>
      <c r="BN35" s="193"/>
      <c r="BO35" s="193"/>
      <c r="BP35" s="193"/>
      <c r="BQ35" s="193"/>
      <c r="BR35" s="193"/>
      <c r="BS35" s="193"/>
      <c r="BT35" s="193"/>
      <c r="BU35" s="193"/>
      <c r="BV35" s="193"/>
      <c r="BW35" s="193"/>
      <c r="BX35" s="193"/>
      <c r="BY35" s="193"/>
      <c r="BZ35" s="193"/>
      <c r="CA35" s="193"/>
      <c r="CB35" s="193"/>
      <c r="CC35" s="193"/>
      <c r="CD35" s="193"/>
      <c r="CE35" s="193"/>
      <c r="CF35" s="193"/>
      <c r="CG35" s="193"/>
      <c r="CH35" s="193"/>
      <c r="CI35" s="193"/>
      <c r="CJ35" s="193"/>
      <c r="CK35" s="193"/>
      <c r="CL35" s="193"/>
      <c r="CM35" s="193"/>
      <c r="CN35" s="193"/>
      <c r="CO35" s="193"/>
      <c r="CP35" s="193"/>
      <c r="CQ35" s="193"/>
      <c r="CR35" s="193"/>
      <c r="CS35" s="193"/>
      <c r="CT35" s="193"/>
      <c r="CU35" s="193"/>
      <c r="CV35" s="193"/>
      <c r="CW35" s="193"/>
      <c r="CX35" s="193"/>
      <c r="CY35" s="193"/>
      <c r="CZ35" s="193"/>
      <c r="DA35" s="193"/>
      <c r="DB35" s="193"/>
      <c r="DC35" s="193"/>
      <c r="DD35" s="193"/>
      <c r="DE35" s="193"/>
      <c r="DF35" s="193"/>
      <c r="DG35" s="193"/>
      <c r="DH35" s="193"/>
      <c r="DI35" s="193"/>
      <c r="DJ35" s="193"/>
      <c r="DK35" s="193"/>
      <c r="DL35" s="193"/>
      <c r="DM35" s="193"/>
      <c r="DN35" s="193"/>
      <c r="DO35" s="193"/>
      <c r="DP35" s="193"/>
      <c r="DQ35" s="193"/>
    </row>
    <row r="36" spans="1:121" s="12" customFormat="1" ht="4.5" customHeight="1" thickTop="1" x14ac:dyDescent="0.2">
      <c r="I36" s="63"/>
    </row>
    <row r="37" spans="1:121" s="12" customFormat="1" ht="23.1" customHeight="1" x14ac:dyDescent="0.2">
      <c r="A37" s="663" t="s">
        <v>671</v>
      </c>
    </row>
    <row r="38" spans="1:121" s="12" customFormat="1" ht="50.1" customHeight="1" x14ac:dyDescent="0.2">
      <c r="A38" s="663" t="s">
        <v>114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 t="s">
        <v>70</v>
      </c>
      <c r="AG38" s="14"/>
      <c r="AH38" s="14"/>
      <c r="AI38" s="14"/>
      <c r="AJ38" s="14"/>
      <c r="AK38" s="14"/>
      <c r="AL38" s="14"/>
      <c r="AM38" s="14"/>
    </row>
    <row r="39" spans="1:121" s="12" customFormat="1" ht="12" x14ac:dyDescent="0.2">
      <c r="A39" s="39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</row>
    <row r="40" spans="1:121" s="12" customFormat="1" ht="15" customHeight="1" x14ac:dyDescent="0.2"/>
    <row r="41" spans="1:121" s="12" customFormat="1" ht="15" customHeight="1" x14ac:dyDescent="0.2"/>
    <row r="42" spans="1:121" s="12" customFormat="1" ht="15" customHeight="1" x14ac:dyDescent="0.2"/>
    <row r="43" spans="1:121" s="12" customFormat="1" ht="15" customHeight="1" x14ac:dyDescent="0.2"/>
    <row r="44" spans="1:121" s="12" customFormat="1" ht="15" customHeight="1" x14ac:dyDescent="0.2"/>
    <row r="45" spans="1:121" s="12" customFormat="1" ht="15" customHeight="1" x14ac:dyDescent="0.2"/>
    <row r="46" spans="1:121" s="12" customFormat="1" ht="15" customHeight="1" x14ac:dyDescent="0.2"/>
    <row r="47" spans="1:121" s="12" customFormat="1" ht="15" customHeight="1" x14ac:dyDescent="0.2"/>
    <row r="48" spans="1:121" s="12" customFormat="1" ht="15" customHeight="1" x14ac:dyDescent="0.2"/>
    <row r="49" s="12" customFormat="1" ht="15" customHeight="1" x14ac:dyDescent="0.2"/>
    <row r="50" s="12" customFormat="1" ht="15" customHeight="1" x14ac:dyDescent="0.2"/>
    <row r="51" s="12" customFormat="1" ht="15" customHeight="1" x14ac:dyDescent="0.2"/>
    <row r="52" s="12" customFormat="1" ht="15" customHeight="1" x14ac:dyDescent="0.2"/>
    <row r="53" s="12" customFormat="1" ht="15" customHeight="1" x14ac:dyDescent="0.2"/>
    <row r="54" s="12" customFormat="1" ht="15" customHeight="1" x14ac:dyDescent="0.2"/>
    <row r="55" s="12" customFormat="1" ht="15" customHeight="1" x14ac:dyDescent="0.2"/>
    <row r="56" s="12" customFormat="1" ht="15" customHeight="1" x14ac:dyDescent="0.2"/>
    <row r="57" s="12" customFormat="1" ht="15" customHeight="1" x14ac:dyDescent="0.2"/>
    <row r="58" s="12" customFormat="1" ht="15" customHeight="1" x14ac:dyDescent="0.2"/>
    <row r="59" s="12" customFormat="1" ht="15" customHeight="1" x14ac:dyDescent="0.2"/>
    <row r="60" s="12" customFormat="1" ht="15" customHeight="1" x14ac:dyDescent="0.2"/>
    <row r="61" s="12" customFormat="1" ht="15" customHeight="1" x14ac:dyDescent="0.2"/>
    <row r="62" s="12" customFormat="1" ht="15" customHeight="1" x14ac:dyDescent="0.2"/>
    <row r="63" s="12" customFormat="1" ht="15" customHeight="1" x14ac:dyDescent="0.2"/>
    <row r="64" s="12" customFormat="1" ht="15" customHeight="1" x14ac:dyDescent="0.2"/>
    <row r="65" s="12" customFormat="1" ht="15" customHeight="1" x14ac:dyDescent="0.2"/>
    <row r="66" s="12" customFormat="1" ht="15" customHeight="1" x14ac:dyDescent="0.2"/>
    <row r="67" s="12" customFormat="1" ht="15" customHeight="1" x14ac:dyDescent="0.2"/>
    <row r="68" s="12" customFormat="1" ht="15" customHeight="1" x14ac:dyDescent="0.2"/>
    <row r="69" s="12" customFormat="1" ht="15" customHeight="1" x14ac:dyDescent="0.2"/>
    <row r="70" s="12" customFormat="1" ht="15" customHeight="1" x14ac:dyDescent="0.2"/>
    <row r="71" s="12" customFormat="1" ht="15" customHeight="1" x14ac:dyDescent="0.2"/>
    <row r="72" s="12" customFormat="1" ht="15" customHeight="1" x14ac:dyDescent="0.2"/>
    <row r="73" s="12" customFormat="1" ht="15" customHeight="1" x14ac:dyDescent="0.2"/>
    <row r="74" s="12" customFormat="1" ht="15" customHeight="1" x14ac:dyDescent="0.2"/>
    <row r="75" s="12" customFormat="1" ht="15" customHeight="1" x14ac:dyDescent="0.2"/>
    <row r="76" s="12" customFormat="1" ht="15" customHeight="1" x14ac:dyDescent="0.2"/>
    <row r="77" s="12" customFormat="1" ht="15" customHeight="1" x14ac:dyDescent="0.2"/>
    <row r="78" s="12" customFormat="1" ht="15" customHeight="1" x14ac:dyDescent="0.2"/>
    <row r="79" s="12" customFormat="1" ht="15" customHeight="1" x14ac:dyDescent="0.2"/>
    <row r="80" s="12" customFormat="1" ht="15" customHeight="1" x14ac:dyDescent="0.2"/>
    <row r="81" s="12" customFormat="1" ht="15" customHeight="1" x14ac:dyDescent="0.2"/>
    <row r="82" s="12" customFormat="1" ht="15" customHeight="1" x14ac:dyDescent="0.2"/>
    <row r="83" s="12" customFormat="1" ht="15" customHeight="1" x14ac:dyDescent="0.2"/>
    <row r="84" s="12" customFormat="1" ht="15" customHeight="1" x14ac:dyDescent="0.2"/>
    <row r="85" s="12" customFormat="1" ht="15" customHeight="1" x14ac:dyDescent="0.2"/>
    <row r="86" s="12" customFormat="1" ht="15" customHeight="1" x14ac:dyDescent="0.2"/>
    <row r="87" s="12" customFormat="1" ht="15" customHeight="1" x14ac:dyDescent="0.2"/>
    <row r="88" s="12" customFormat="1" ht="15" customHeight="1" x14ac:dyDescent="0.2"/>
    <row r="89" s="12" customFormat="1" ht="15" customHeight="1" x14ac:dyDescent="0.2"/>
    <row r="90" s="12" customFormat="1" ht="15" customHeight="1" x14ac:dyDescent="0.2"/>
    <row r="91" s="12" customFormat="1" ht="15" customHeight="1" x14ac:dyDescent="0.2"/>
    <row r="92" s="12" customFormat="1" ht="15" customHeight="1" x14ac:dyDescent="0.2"/>
    <row r="93" s="12" customFormat="1" ht="15" customHeight="1" x14ac:dyDescent="0.2"/>
    <row r="94" s="12" customFormat="1" ht="15" customHeight="1" x14ac:dyDescent="0.2"/>
    <row r="95" s="12" customFormat="1" ht="15" customHeight="1" x14ac:dyDescent="0.2"/>
    <row r="96" s="12" customFormat="1" ht="15" customHeight="1" x14ac:dyDescent="0.2"/>
    <row r="97" s="12" customFormat="1" ht="15" customHeight="1" x14ac:dyDescent="0.2"/>
    <row r="98" s="12" customFormat="1" ht="15" customHeight="1" x14ac:dyDescent="0.2"/>
    <row r="99" s="12" customFormat="1" ht="15" customHeight="1" x14ac:dyDescent="0.2"/>
    <row r="100" s="12" customFormat="1" ht="15" customHeight="1" x14ac:dyDescent="0.2"/>
    <row r="101" s="12" customFormat="1" ht="15" customHeight="1" x14ac:dyDescent="0.2"/>
    <row r="102" s="12" customFormat="1" ht="15" customHeight="1" x14ac:dyDescent="0.2"/>
    <row r="103" s="12" customFormat="1" ht="15" customHeight="1" x14ac:dyDescent="0.2"/>
    <row r="104" s="12" customFormat="1" ht="15" customHeight="1" x14ac:dyDescent="0.2"/>
    <row r="105" s="12" customFormat="1" ht="15" customHeight="1" x14ac:dyDescent="0.2"/>
    <row r="106" s="12" customFormat="1" ht="15" customHeight="1" x14ac:dyDescent="0.2"/>
    <row r="107" s="12" customFormat="1" ht="15" customHeight="1" x14ac:dyDescent="0.2"/>
    <row r="108" s="12" customFormat="1" ht="15" customHeight="1" x14ac:dyDescent="0.2"/>
    <row r="109" s="12" customFormat="1" ht="15" customHeight="1" x14ac:dyDescent="0.2"/>
    <row r="110" s="12" customFormat="1" ht="15" customHeight="1" x14ac:dyDescent="0.2"/>
    <row r="111" s="12" customFormat="1" ht="15" customHeight="1" x14ac:dyDescent="0.2"/>
    <row r="112" s="12" customFormat="1" ht="15" customHeight="1" x14ac:dyDescent="0.2"/>
    <row r="113" s="12" customFormat="1" ht="15" customHeight="1" x14ac:dyDescent="0.2"/>
    <row r="114" s="12" customFormat="1" ht="15" customHeight="1" x14ac:dyDescent="0.2"/>
    <row r="115" s="12" customFormat="1" ht="15" customHeight="1" x14ac:dyDescent="0.2"/>
    <row r="116" s="12" customFormat="1" ht="15" customHeight="1" x14ac:dyDescent="0.2"/>
    <row r="117" s="12" customFormat="1" ht="15" customHeight="1" x14ac:dyDescent="0.2"/>
    <row r="118" s="12" customFormat="1" ht="15" customHeight="1" x14ac:dyDescent="0.2"/>
    <row r="119" s="12" customFormat="1" ht="15" customHeight="1" x14ac:dyDescent="0.2"/>
    <row r="120" s="12" customFormat="1" ht="15" customHeight="1" x14ac:dyDescent="0.2"/>
    <row r="121" s="12" customFormat="1" ht="15" customHeight="1" x14ac:dyDescent="0.2"/>
    <row r="122" customFormat="1" ht="15" customHeight="1" x14ac:dyDescent="0.2"/>
  </sheetData>
  <customSheetViews>
    <customSheetView guid="{B7440494-8EA9-4463-9947-E5D20E74049D}" showGridLines="0">
      <pane xSplit="1" ySplit="10" topLeftCell="AI23" activePane="bottomRight" state="frozen"/>
      <selection pane="bottomRight" activeCell="AO5" sqref="AO5"/>
      <colBreaks count="4" manualBreakCount="4">
        <brk id="9" max="38" man="1"/>
        <brk id="17" max="38" man="1"/>
        <brk id="25" max="38" man="1"/>
        <brk id="33" max="38" man="1"/>
      </colBreaks>
      <pageMargins left="0" right="0" top="0.39370078740157483" bottom="0.39370078740157483" header="0" footer="0"/>
      <printOptions horizontalCentered="1" verticalCentered="1"/>
      <pageSetup paperSize="9" scale="91" fitToWidth="5" orientation="landscape" r:id="rId1"/>
      <headerFooter alignWithMargins="0">
        <oddHeader>&amp;R&amp;P/&amp;N</oddHeader>
      </headerFooter>
    </customSheetView>
    <customSheetView guid="{6D89F6EF-F5AD-478F-979A-5AF1BC78EF91}" showGridLines="0">
      <pane xSplit="2" ySplit="10" topLeftCell="C11" activePane="bottomRight" state="frozen"/>
      <selection pane="bottomRight" activeCell="C11" sqref="C11"/>
      <colBreaks count="3" manualBreakCount="3">
        <brk id="9" max="39" man="1"/>
        <brk id="25" max="40" man="1"/>
        <brk id="41" max="43" man="1"/>
      </colBreaks>
      <pageMargins left="0" right="0" top="0.55118110236220474" bottom="0" header="0" footer="0"/>
      <printOptions horizontalCentered="1" verticalCentered="1"/>
      <pageSetup paperSize="9" scale="70" orientation="landscape" r:id="rId2"/>
      <headerFooter alignWithMargins="0"/>
    </customSheetView>
    <customSheetView guid="{A9134056-6B1C-4A42-AFE9-9712EF3EF3D4}" showPageBreaks="1" showGridLines="0" printArea="1">
      <pane xSplit="2" ySplit="10" topLeftCell="C11" activePane="bottomRight" state="frozen"/>
      <selection pane="bottomRight" activeCell="C11" sqref="C11"/>
      <colBreaks count="4" manualBreakCount="4">
        <brk id="9" max="39" man="1"/>
        <brk id="23" max="39" man="1"/>
        <brk id="25" max="40" man="1"/>
        <brk id="41" max="43" man="1"/>
      </colBreaks>
      <pageMargins left="0" right="0" top="0.55118110236220474" bottom="0" header="0" footer="0"/>
      <printOptions horizontalCentered="1" verticalCentered="1"/>
      <pageSetup paperSize="9" scale="70" orientation="landscape" r:id="rId3"/>
      <headerFooter alignWithMargins="0"/>
    </customSheetView>
  </customSheetViews>
  <hyperlinks>
    <hyperlink ref="AS6" location="Índex!E9" display="Índex"/>
  </hyperlinks>
  <printOptions horizontalCentered="1"/>
  <pageMargins left="0" right="0" top="0.39370078740157483" bottom="0" header="0" footer="0"/>
  <pageSetup paperSize="9" scale="90" orientation="landscape" r:id="rId4"/>
  <headerFooter alignWithMargins="0">
    <oddHeader>&amp;R&amp;P/&amp;N</oddHeader>
  </headerFooter>
  <colBreaks count="5" manualBreakCount="5">
    <brk id="9" max="38" man="1"/>
    <brk id="17" max="38" man="1"/>
    <brk id="25" max="38" man="1"/>
    <brk id="33" max="38" man="1"/>
    <brk id="41" max="38" man="1"/>
  </colBreaks>
  <drawing r:id="rId5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6"/>
  <dimension ref="A1:DQ117"/>
  <sheetViews>
    <sheetView showGridLines="0" zoomScaleNormal="100" workbookViewId="0">
      <pane xSplit="1" ySplit="8" topLeftCell="AK15" activePane="bottomRight" state="frozen"/>
      <selection activeCell="E9" sqref="E9"/>
      <selection pane="topRight" activeCell="E9" sqref="E9"/>
      <selection pane="bottomLeft" activeCell="E9" sqref="E9"/>
      <selection pane="bottomRight" activeCell="E9" sqref="E9"/>
    </sheetView>
  </sheetViews>
  <sheetFormatPr defaultColWidth="10.28515625" defaultRowHeight="15" customHeight="1" x14ac:dyDescent="0.2"/>
  <cols>
    <col min="1" max="1" width="70.28515625" style="97" bestFit="1" customWidth="1"/>
    <col min="2" max="45" width="10.7109375" style="97" customWidth="1"/>
    <col min="46" max="16384" width="10.28515625" style="97"/>
  </cols>
  <sheetData>
    <row r="1" spans="1:93" s="25" customFormat="1" ht="15" customHeight="1" x14ac:dyDescent="0.2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2"/>
      <c r="AW1" s="62"/>
      <c r="AX1" s="62"/>
      <c r="AY1" s="62"/>
      <c r="AZ1" s="62"/>
      <c r="BA1" s="62"/>
      <c r="BB1" s="62"/>
      <c r="BC1" s="62"/>
      <c r="BD1" s="62"/>
      <c r="BE1" s="62"/>
      <c r="BF1" s="62"/>
      <c r="BG1" s="62"/>
      <c r="BH1" s="62"/>
      <c r="BI1" s="62"/>
      <c r="BJ1" s="56"/>
      <c r="BK1" s="56"/>
      <c r="BL1" s="56"/>
      <c r="BM1" s="56"/>
      <c r="BN1" s="56"/>
      <c r="BO1" s="56"/>
      <c r="BP1" s="56"/>
      <c r="BQ1" s="56"/>
      <c r="BR1" s="56"/>
      <c r="BS1" s="56"/>
      <c r="BT1" s="56"/>
      <c r="BU1" s="56"/>
    </row>
    <row r="2" spans="1:93" s="25" customFormat="1" ht="15" customHeight="1" x14ac:dyDescent="0.25">
      <c r="A2" s="56"/>
      <c r="B2" s="199"/>
      <c r="C2" s="56"/>
      <c r="D2" s="56"/>
      <c r="E2" s="216"/>
      <c r="F2" s="216"/>
      <c r="G2" s="216"/>
      <c r="H2" s="56"/>
      <c r="I2" s="56"/>
      <c r="J2" s="56"/>
      <c r="K2" s="21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  <c r="BM2" s="56"/>
      <c r="BN2" s="56"/>
      <c r="BO2" s="56"/>
      <c r="BP2" s="56"/>
      <c r="BQ2" s="56"/>
      <c r="BR2" s="56"/>
      <c r="BS2" s="56"/>
      <c r="BT2" s="56"/>
      <c r="BU2" s="56"/>
    </row>
    <row r="3" spans="1:93" s="25" customFormat="1" ht="15" customHeight="1" x14ac:dyDescent="0.25">
      <c r="A3" s="57"/>
      <c r="B3" s="57"/>
      <c r="C3" s="61"/>
      <c r="D3" s="57"/>
      <c r="E3" s="217"/>
      <c r="F3" s="217"/>
      <c r="G3" s="217"/>
      <c r="H3" s="57"/>
      <c r="I3" s="57"/>
      <c r="J3" s="57"/>
      <c r="K3" s="21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7"/>
      <c r="BT3" s="57"/>
      <c r="BU3" s="57"/>
    </row>
    <row r="4" spans="1:93" s="25" customFormat="1" ht="15" customHeight="1" x14ac:dyDescent="0.2">
      <c r="A4" s="58"/>
      <c r="B4" s="58"/>
      <c r="C4" s="58"/>
      <c r="D4" s="58"/>
      <c r="E4" s="218"/>
      <c r="F4" s="218"/>
      <c r="G4" s="218"/>
      <c r="H4" s="58"/>
      <c r="I4" s="58"/>
      <c r="J4" s="58"/>
      <c r="K4" s="21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  <c r="CG4" s="198"/>
      <c r="CH4" s="198"/>
      <c r="CI4" s="198"/>
      <c r="CJ4" s="198"/>
      <c r="CK4" s="198"/>
      <c r="CL4" s="198"/>
      <c r="CM4" s="198"/>
      <c r="CN4" s="198"/>
      <c r="CO4" s="198"/>
    </row>
    <row r="5" spans="1:93" s="25" customFormat="1" ht="19.5" thickBot="1" x14ac:dyDescent="0.35">
      <c r="A5" s="190" t="s">
        <v>498</v>
      </c>
      <c r="B5" s="61"/>
      <c r="C5" s="59"/>
      <c r="D5" s="61"/>
      <c r="E5" s="59"/>
      <c r="F5" s="114"/>
      <c r="G5" s="59"/>
      <c r="H5" s="112"/>
      <c r="I5" s="59"/>
      <c r="J5" s="59"/>
      <c r="K5" s="59"/>
      <c r="L5" s="59"/>
      <c r="M5" s="59"/>
      <c r="N5" s="59"/>
      <c r="O5" s="59"/>
      <c r="P5" s="59"/>
      <c r="Q5" s="59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59"/>
      <c r="BR5" s="59"/>
      <c r="BS5" s="59"/>
      <c r="BT5" s="59"/>
      <c r="BU5" s="59"/>
      <c r="BW5" s="114"/>
      <c r="CA5" s="114"/>
      <c r="CC5" s="134"/>
      <c r="CF5" s="65"/>
      <c r="CG5" s="194"/>
      <c r="CH5" s="194"/>
      <c r="CI5" s="194"/>
      <c r="CJ5" s="225"/>
      <c r="CK5" s="194"/>
      <c r="CL5" s="194"/>
      <c r="CM5" s="194"/>
      <c r="CN5" s="194"/>
      <c r="CO5" s="198"/>
    </row>
    <row r="6" spans="1:93" s="236" customFormat="1" ht="15" customHeight="1" thickTop="1" x14ac:dyDescent="0.2">
      <c r="A6" s="234"/>
      <c r="B6" s="234"/>
      <c r="C6" s="235"/>
      <c r="D6" s="235"/>
      <c r="E6" s="235"/>
      <c r="AL6" s="133"/>
      <c r="AN6" s="133"/>
      <c r="AO6" s="133"/>
      <c r="AP6" s="400"/>
      <c r="AQ6" s="400"/>
      <c r="AR6" s="400"/>
      <c r="AS6" s="400" t="s">
        <v>662</v>
      </c>
    </row>
    <row r="7" spans="1:93" s="183" customFormat="1" ht="15" customHeight="1" x14ac:dyDescent="0.2">
      <c r="A7" s="182"/>
      <c r="B7" s="195" t="s">
        <v>35</v>
      </c>
      <c r="C7" s="195" t="s">
        <v>36</v>
      </c>
      <c r="D7" s="195" t="s">
        <v>321</v>
      </c>
      <c r="E7" s="195" t="s">
        <v>331</v>
      </c>
      <c r="F7" s="195" t="s">
        <v>37</v>
      </c>
      <c r="G7" s="195" t="s">
        <v>38</v>
      </c>
      <c r="H7" s="195" t="s">
        <v>322</v>
      </c>
      <c r="I7" s="195" t="s">
        <v>332</v>
      </c>
      <c r="J7" s="195" t="s">
        <v>39</v>
      </c>
      <c r="K7" s="195" t="s">
        <v>40</v>
      </c>
      <c r="L7" s="195" t="s">
        <v>323</v>
      </c>
      <c r="M7" s="195" t="s">
        <v>333</v>
      </c>
      <c r="N7" s="195" t="s">
        <v>41</v>
      </c>
      <c r="O7" s="195" t="s">
        <v>42</v>
      </c>
      <c r="P7" s="195" t="s">
        <v>324</v>
      </c>
      <c r="Q7" s="195" t="s">
        <v>334</v>
      </c>
      <c r="R7" s="195" t="s">
        <v>43</v>
      </c>
      <c r="S7" s="195" t="s">
        <v>44</v>
      </c>
      <c r="T7" s="195" t="s">
        <v>325</v>
      </c>
      <c r="U7" s="195" t="s">
        <v>335</v>
      </c>
      <c r="V7" s="195" t="s">
        <v>45</v>
      </c>
      <c r="W7" s="195" t="s">
        <v>46</v>
      </c>
      <c r="X7" s="195" t="s">
        <v>326</v>
      </c>
      <c r="Y7" s="195" t="s">
        <v>336</v>
      </c>
      <c r="Z7" s="195" t="s">
        <v>47</v>
      </c>
      <c r="AA7" s="195" t="s">
        <v>48</v>
      </c>
      <c r="AB7" s="195" t="s">
        <v>327</v>
      </c>
      <c r="AC7" s="195" t="s">
        <v>337</v>
      </c>
      <c r="AD7" s="195" t="s">
        <v>49</v>
      </c>
      <c r="AE7" s="195" t="s">
        <v>50</v>
      </c>
      <c r="AF7" s="195" t="s">
        <v>328</v>
      </c>
      <c r="AG7" s="195" t="s">
        <v>338</v>
      </c>
      <c r="AH7" s="195" t="s">
        <v>51</v>
      </c>
      <c r="AI7" s="195" t="s">
        <v>52</v>
      </c>
      <c r="AJ7" s="195" t="s">
        <v>329</v>
      </c>
      <c r="AK7" s="195" t="s">
        <v>339</v>
      </c>
      <c r="AL7" s="195" t="s">
        <v>53</v>
      </c>
      <c r="AM7" s="195" t="s">
        <v>54</v>
      </c>
      <c r="AN7" s="195" t="s">
        <v>330</v>
      </c>
      <c r="AO7" s="410" t="s">
        <v>340</v>
      </c>
      <c r="AP7" s="410" t="s">
        <v>71</v>
      </c>
      <c r="AQ7" s="591" t="s">
        <v>374</v>
      </c>
      <c r="AR7" s="664" t="s">
        <v>376</v>
      </c>
      <c r="AS7" s="664" t="s">
        <v>399</v>
      </c>
      <c r="CC7" s="243"/>
    </row>
    <row r="8" spans="1:93" s="178" customFormat="1" ht="9.9499999999999993" customHeight="1" x14ac:dyDescent="0.2">
      <c r="A8" s="233"/>
      <c r="B8" s="233"/>
      <c r="C8" s="233"/>
      <c r="D8" s="233"/>
      <c r="E8" s="233"/>
      <c r="F8" s="233"/>
      <c r="G8" s="233"/>
      <c r="H8" s="233"/>
      <c r="I8" s="233"/>
      <c r="J8" s="233"/>
      <c r="K8" s="233"/>
      <c r="L8" s="233"/>
      <c r="M8" s="233"/>
      <c r="N8" s="233"/>
      <c r="O8" s="233"/>
      <c r="P8" s="233"/>
      <c r="Q8" s="233"/>
      <c r="R8" s="233"/>
      <c r="S8" s="233"/>
      <c r="T8" s="233"/>
      <c r="U8" s="233"/>
      <c r="V8" s="233"/>
      <c r="W8" s="233"/>
      <c r="X8" s="233"/>
      <c r="Y8" s="233"/>
      <c r="Z8" s="233"/>
      <c r="AA8" s="233"/>
      <c r="AB8" s="233"/>
      <c r="AC8" s="233"/>
      <c r="AD8" s="233"/>
      <c r="AE8" s="233"/>
      <c r="AF8" s="233"/>
      <c r="AG8" s="233"/>
      <c r="AH8" s="233"/>
      <c r="AI8" s="233"/>
      <c r="AJ8" s="233"/>
      <c r="AK8" s="233"/>
      <c r="AL8" s="233"/>
      <c r="AM8" s="233"/>
      <c r="AN8" s="233"/>
      <c r="AO8" s="233"/>
      <c r="AP8" s="233"/>
      <c r="AQ8" s="233"/>
      <c r="AR8" s="233"/>
      <c r="AS8" s="233"/>
      <c r="AT8" s="191"/>
      <c r="AU8" s="191"/>
      <c r="AV8" s="191"/>
      <c r="AW8" s="191"/>
      <c r="AX8" s="191"/>
      <c r="AY8" s="191"/>
      <c r="AZ8" s="191"/>
      <c r="BA8" s="191"/>
      <c r="BB8" s="191"/>
      <c r="BC8" s="191"/>
      <c r="BD8" s="191"/>
      <c r="BE8" s="191"/>
      <c r="BF8" s="191"/>
      <c r="BG8" s="191"/>
      <c r="BH8" s="191"/>
      <c r="BI8" s="191"/>
      <c r="BJ8" s="191"/>
      <c r="BK8" s="191"/>
      <c r="BL8" s="191"/>
      <c r="BM8" s="191"/>
      <c r="BN8" s="191"/>
      <c r="BO8" s="191"/>
      <c r="BP8" s="191"/>
      <c r="BQ8" s="191"/>
      <c r="BR8" s="191"/>
      <c r="BS8" s="191"/>
      <c r="BT8" s="191"/>
      <c r="BU8" s="191"/>
      <c r="BV8" s="191"/>
      <c r="BW8" s="191"/>
      <c r="BX8" s="191"/>
      <c r="BY8" s="191"/>
      <c r="BZ8" s="191"/>
      <c r="CA8" s="191"/>
      <c r="CB8" s="191"/>
      <c r="CC8" s="191"/>
      <c r="CD8" s="191"/>
    </row>
    <row r="9" spans="1:93" s="178" customFormat="1" ht="5.0999999999999996" customHeight="1" x14ac:dyDescent="0.2">
      <c r="A9" s="203"/>
      <c r="B9" s="203"/>
      <c r="C9" s="203"/>
      <c r="D9" s="203"/>
      <c r="E9" s="203"/>
      <c r="F9" s="203"/>
      <c r="G9" s="203"/>
      <c r="H9" s="203"/>
      <c r="I9" s="203"/>
      <c r="J9" s="203"/>
      <c r="K9" s="203"/>
      <c r="L9" s="203"/>
      <c r="M9" s="203"/>
      <c r="N9" s="203"/>
      <c r="O9" s="203"/>
      <c r="P9" s="203"/>
      <c r="Q9" s="203"/>
      <c r="R9" s="203"/>
      <c r="S9" s="203"/>
      <c r="T9" s="203"/>
      <c r="U9" s="203"/>
      <c r="V9" s="203"/>
      <c r="W9" s="203"/>
      <c r="X9" s="203"/>
      <c r="Y9" s="203"/>
      <c r="Z9" s="203"/>
      <c r="AA9" s="203"/>
      <c r="AB9" s="203"/>
      <c r="AC9" s="203"/>
      <c r="AD9" s="203"/>
      <c r="AE9" s="203"/>
      <c r="AF9" s="203"/>
      <c r="AG9" s="203"/>
      <c r="AH9" s="203"/>
      <c r="AI9" s="203"/>
      <c r="AJ9" s="203"/>
      <c r="AK9" s="203"/>
      <c r="AL9" s="203"/>
      <c r="AM9" s="203"/>
      <c r="AN9" s="203"/>
      <c r="AO9" s="203"/>
      <c r="AP9" s="203"/>
      <c r="AQ9" s="203"/>
      <c r="AR9" s="203"/>
      <c r="AS9" s="203"/>
      <c r="AT9" s="203"/>
      <c r="AU9" s="203"/>
      <c r="AV9" s="203"/>
      <c r="AW9" s="203"/>
      <c r="AX9" s="203"/>
      <c r="AY9" s="203"/>
      <c r="AZ9" s="203"/>
      <c r="BA9" s="203"/>
      <c r="BB9" s="203"/>
      <c r="BC9" s="203"/>
      <c r="BD9" s="203"/>
      <c r="BE9" s="203"/>
      <c r="BF9" s="203"/>
      <c r="BG9" s="203"/>
      <c r="BH9" s="203"/>
      <c r="BI9" s="203"/>
      <c r="BJ9" s="203"/>
      <c r="BK9" s="203"/>
      <c r="BL9" s="203"/>
      <c r="BM9" s="203"/>
      <c r="BN9" s="203"/>
      <c r="BO9" s="203"/>
      <c r="BP9" s="203"/>
      <c r="BQ9" s="203"/>
      <c r="BR9" s="203"/>
      <c r="BS9" s="203"/>
      <c r="BT9" s="203"/>
      <c r="BU9" s="203"/>
      <c r="BV9" s="203"/>
      <c r="BW9" s="203"/>
      <c r="BX9" s="203"/>
      <c r="BY9" s="203"/>
      <c r="BZ9" s="203"/>
      <c r="CA9" s="203"/>
      <c r="CB9" s="203"/>
      <c r="CC9" s="203"/>
      <c r="CD9" s="203"/>
    </row>
    <row r="10" spans="1:93" s="232" customFormat="1" ht="15" customHeight="1" x14ac:dyDescent="0.2">
      <c r="A10" s="229" t="s">
        <v>115</v>
      </c>
      <c r="B10" s="230">
        <f t="shared" ref="B10:O10" si="0">SUM(B11:B20)</f>
        <v>255319</v>
      </c>
      <c r="C10" s="230">
        <f t="shared" si="0"/>
        <v>260321</v>
      </c>
      <c r="D10" s="230">
        <f t="shared" si="0"/>
        <v>285111</v>
      </c>
      <c r="E10" s="230">
        <f t="shared" si="0"/>
        <v>305485</v>
      </c>
      <c r="F10" s="230">
        <f t="shared" si="0"/>
        <v>321543</v>
      </c>
      <c r="G10" s="230">
        <f t="shared" si="0"/>
        <v>366197</v>
      </c>
      <c r="H10" s="231">
        <f t="shared" si="0"/>
        <v>382325</v>
      </c>
      <c r="I10" s="231">
        <f t="shared" si="0"/>
        <v>410464</v>
      </c>
      <c r="J10" s="231">
        <f t="shared" si="0"/>
        <v>439901</v>
      </c>
      <c r="K10" s="231">
        <f t="shared" si="0"/>
        <v>435880</v>
      </c>
      <c r="L10" s="231">
        <f t="shared" si="0"/>
        <v>437877</v>
      </c>
      <c r="M10" s="231">
        <f t="shared" si="0"/>
        <v>454365</v>
      </c>
      <c r="N10" s="231">
        <f t="shared" si="0"/>
        <v>481331</v>
      </c>
      <c r="O10" s="231">
        <f t="shared" si="0"/>
        <v>504665</v>
      </c>
      <c r="P10" s="231">
        <f>SUM(P11:P20)-1</f>
        <v>555409</v>
      </c>
      <c r="Q10" s="231">
        <f t="shared" ref="Q10:AL10" si="1">SUM(Q11:Q20)</f>
        <v>576806</v>
      </c>
      <c r="R10" s="231">
        <f t="shared" si="1"/>
        <v>615688</v>
      </c>
      <c r="S10" s="231">
        <f t="shared" si="1"/>
        <v>623278</v>
      </c>
      <c r="T10" s="231">
        <f t="shared" si="1"/>
        <v>653743</v>
      </c>
      <c r="U10" s="231">
        <f t="shared" si="1"/>
        <v>684420</v>
      </c>
      <c r="V10" s="231">
        <f t="shared" si="1"/>
        <v>715004</v>
      </c>
      <c r="W10" s="231">
        <f t="shared" si="1"/>
        <v>746915</v>
      </c>
      <c r="X10" s="231">
        <f t="shared" si="1"/>
        <v>767565</v>
      </c>
      <c r="Y10" s="231">
        <f t="shared" si="1"/>
        <v>783396</v>
      </c>
      <c r="Z10" s="231">
        <f t="shared" si="1"/>
        <v>807790</v>
      </c>
      <c r="AA10" s="231">
        <f t="shared" si="1"/>
        <v>806309</v>
      </c>
      <c r="AB10" s="231">
        <f t="shared" si="1"/>
        <v>817950</v>
      </c>
      <c r="AC10" s="231">
        <f t="shared" si="1"/>
        <v>824692</v>
      </c>
      <c r="AD10" s="231">
        <f t="shared" si="1"/>
        <v>838494</v>
      </c>
      <c r="AE10" s="231">
        <f t="shared" si="1"/>
        <v>842444</v>
      </c>
      <c r="AF10" s="231">
        <f t="shared" si="1"/>
        <v>898194</v>
      </c>
      <c r="AG10" s="231">
        <f t="shared" si="1"/>
        <v>937369</v>
      </c>
      <c r="AH10" s="231">
        <f t="shared" si="1"/>
        <v>938650</v>
      </c>
      <c r="AI10" s="231">
        <f t="shared" si="1"/>
        <v>929261</v>
      </c>
      <c r="AJ10" s="231">
        <f t="shared" si="1"/>
        <v>933890</v>
      </c>
      <c r="AK10" s="231">
        <f t="shared" si="1"/>
        <v>960112</v>
      </c>
      <c r="AL10" s="231">
        <f t="shared" si="1"/>
        <v>992867</v>
      </c>
      <c r="AM10" s="231">
        <f t="shared" ref="AM10:AS10" si="2">SUM(AM11:AM20)</f>
        <v>985871</v>
      </c>
      <c r="AN10" s="231">
        <f t="shared" si="2"/>
        <v>1131998</v>
      </c>
      <c r="AO10" s="231">
        <f t="shared" si="2"/>
        <v>1148424</v>
      </c>
      <c r="AP10" s="231">
        <f t="shared" si="2"/>
        <v>1157548</v>
      </c>
      <c r="AQ10" s="231">
        <f t="shared" si="2"/>
        <v>1141180</v>
      </c>
      <c r="AR10" s="231">
        <f t="shared" si="2"/>
        <v>1171026</v>
      </c>
      <c r="AS10" s="420">
        <f t="shared" si="2"/>
        <v>1152841</v>
      </c>
    </row>
    <row r="11" spans="1:93" s="228" customFormat="1" ht="15" customHeight="1" x14ac:dyDescent="0.2">
      <c r="A11" s="226" t="s">
        <v>79</v>
      </c>
      <c r="B11" s="227">
        <v>84162</v>
      </c>
      <c r="C11" s="227">
        <v>82601</v>
      </c>
      <c r="D11" s="227">
        <v>86736</v>
      </c>
      <c r="E11" s="227">
        <v>98323</v>
      </c>
      <c r="F11" s="227">
        <v>106710</v>
      </c>
      <c r="G11" s="227">
        <v>122752</v>
      </c>
      <c r="H11" s="237">
        <v>139170</v>
      </c>
      <c r="I11" s="237">
        <v>164493</v>
      </c>
      <c r="J11" s="196">
        <v>169104</v>
      </c>
      <c r="K11" s="196">
        <v>167512</v>
      </c>
      <c r="L11" s="196">
        <v>167987</v>
      </c>
      <c r="M11" s="196">
        <v>171073</v>
      </c>
      <c r="N11" s="196">
        <v>170722</v>
      </c>
      <c r="O11" s="196">
        <v>178453</v>
      </c>
      <c r="P11" s="196">
        <v>186194</v>
      </c>
      <c r="Q11" s="196">
        <v>193201</v>
      </c>
      <c r="R11" s="196">
        <v>203822</v>
      </c>
      <c r="S11" s="196">
        <v>213561</v>
      </c>
      <c r="T11" s="196">
        <v>224664</v>
      </c>
      <c r="U11" s="196">
        <v>217424</v>
      </c>
      <c r="V11" s="196">
        <v>213877</v>
      </c>
      <c r="W11" s="196">
        <v>217070</v>
      </c>
      <c r="X11" s="196">
        <v>212869</v>
      </c>
      <c r="Y11" s="196">
        <v>211858</v>
      </c>
      <c r="Z11" s="196">
        <v>205870</v>
      </c>
      <c r="AA11" s="196">
        <v>208485</v>
      </c>
      <c r="AB11" s="196">
        <v>216778</v>
      </c>
      <c r="AC11" s="196">
        <v>218063</v>
      </c>
      <c r="AD11" s="196">
        <v>218709</v>
      </c>
      <c r="AE11" s="196">
        <v>213270</v>
      </c>
      <c r="AF11" s="196">
        <v>211882</v>
      </c>
      <c r="AG11" s="196">
        <v>211612</v>
      </c>
      <c r="AH11" s="196">
        <v>211702</v>
      </c>
      <c r="AI11" s="196">
        <v>195926</v>
      </c>
      <c r="AJ11" s="196">
        <v>203637</v>
      </c>
      <c r="AK11" s="196">
        <v>195760</v>
      </c>
      <c r="AL11" s="196">
        <v>189192</v>
      </c>
      <c r="AM11" s="196">
        <v>179436</v>
      </c>
      <c r="AN11" s="196">
        <v>239937</v>
      </c>
      <c r="AO11" s="196">
        <v>234214</v>
      </c>
      <c r="AP11" s="196">
        <v>235432</v>
      </c>
      <c r="AQ11" s="196">
        <v>260120</v>
      </c>
      <c r="AR11" s="196">
        <v>259577</v>
      </c>
      <c r="AS11" s="200">
        <v>265278</v>
      </c>
    </row>
    <row r="12" spans="1:93" s="228" customFormat="1" ht="15" customHeight="1" x14ac:dyDescent="0.2">
      <c r="A12" s="226" t="s">
        <v>499</v>
      </c>
      <c r="B12" s="227">
        <v>50901</v>
      </c>
      <c r="C12" s="227">
        <v>53756</v>
      </c>
      <c r="D12" s="227">
        <v>68621</v>
      </c>
      <c r="E12" s="227">
        <v>73634</v>
      </c>
      <c r="F12" s="227">
        <v>69540</v>
      </c>
      <c r="G12" s="227">
        <v>98278</v>
      </c>
      <c r="H12" s="196">
        <v>87464</v>
      </c>
      <c r="I12" s="196">
        <v>79977</v>
      </c>
      <c r="J12" s="196">
        <v>91659</v>
      </c>
      <c r="K12" s="196">
        <v>99710</v>
      </c>
      <c r="L12" s="196">
        <v>102604</v>
      </c>
      <c r="M12" s="196">
        <v>113273</v>
      </c>
      <c r="N12" s="196">
        <v>128172</v>
      </c>
      <c r="O12" s="196">
        <v>131134</v>
      </c>
      <c r="P12" s="196">
        <v>157009</v>
      </c>
      <c r="Q12" s="196">
        <v>171497</v>
      </c>
      <c r="R12" s="196">
        <v>178989</v>
      </c>
      <c r="S12" s="196">
        <v>164204</v>
      </c>
      <c r="T12" s="196">
        <v>171458</v>
      </c>
      <c r="U12" s="196">
        <v>197448</v>
      </c>
      <c r="V12" s="196">
        <v>213930</v>
      </c>
      <c r="W12" s="196">
        <v>225974</v>
      </c>
      <c r="X12" s="196">
        <v>245538</v>
      </c>
      <c r="Y12" s="196">
        <v>255591</v>
      </c>
      <c r="Z12" s="196">
        <v>281045</v>
      </c>
      <c r="AA12" s="196">
        <v>266825</v>
      </c>
      <c r="AB12" s="196">
        <v>258580</v>
      </c>
      <c r="AC12" s="196">
        <v>256279</v>
      </c>
      <c r="AD12" s="196">
        <v>250716</v>
      </c>
      <c r="AE12" s="196">
        <v>255611</v>
      </c>
      <c r="AF12" s="196">
        <v>297814</v>
      </c>
      <c r="AG12" s="196">
        <v>320194</v>
      </c>
      <c r="AH12" s="196">
        <v>303740</v>
      </c>
      <c r="AI12" s="196">
        <v>293730</v>
      </c>
      <c r="AJ12" s="196">
        <v>257847</v>
      </c>
      <c r="AK12" s="196">
        <v>279726</v>
      </c>
      <c r="AL12" s="196">
        <v>297350</v>
      </c>
      <c r="AM12" s="196">
        <v>287117</v>
      </c>
      <c r="AN12" s="196">
        <v>320556</v>
      </c>
      <c r="AO12" s="196">
        <v>349070</v>
      </c>
      <c r="AP12" s="196">
        <v>351263</v>
      </c>
      <c r="AQ12" s="196">
        <v>316026</v>
      </c>
      <c r="AR12" s="196">
        <v>334060</v>
      </c>
      <c r="AS12" s="200">
        <v>313562</v>
      </c>
    </row>
    <row r="13" spans="1:93" s="228" customFormat="1" ht="15" customHeight="1" x14ac:dyDescent="0.2">
      <c r="A13" s="226" t="s">
        <v>500</v>
      </c>
      <c r="B13" s="227">
        <v>5027</v>
      </c>
      <c r="C13" s="227">
        <v>4936</v>
      </c>
      <c r="D13" s="227">
        <v>5009</v>
      </c>
      <c r="E13" s="227">
        <v>4299</v>
      </c>
      <c r="F13" s="227">
        <v>4230</v>
      </c>
      <c r="G13" s="227">
        <v>2771</v>
      </c>
      <c r="H13" s="196">
        <v>3357</v>
      </c>
      <c r="I13" s="196">
        <v>4026</v>
      </c>
      <c r="J13" s="196">
        <v>4164</v>
      </c>
      <c r="K13" s="196">
        <v>3435</v>
      </c>
      <c r="L13" s="196">
        <v>3277</v>
      </c>
      <c r="M13" s="196">
        <v>3461</v>
      </c>
      <c r="N13" s="196">
        <v>4524</v>
      </c>
      <c r="O13" s="196">
        <v>8802</v>
      </c>
      <c r="P13" s="196">
        <v>9875</v>
      </c>
      <c r="Q13" s="196">
        <v>13977</v>
      </c>
      <c r="R13" s="196">
        <v>18200</v>
      </c>
      <c r="S13" s="196">
        <v>25774</v>
      </c>
      <c r="T13" s="196">
        <v>29100</v>
      </c>
      <c r="U13" s="196">
        <v>37583</v>
      </c>
      <c r="V13" s="196">
        <v>44952</v>
      </c>
      <c r="W13" s="196">
        <v>47406</v>
      </c>
      <c r="X13" s="196">
        <v>50223</v>
      </c>
      <c r="Y13" s="196">
        <v>47932</v>
      </c>
      <c r="Z13" s="196">
        <v>44640</v>
      </c>
      <c r="AA13" s="196">
        <v>50512</v>
      </c>
      <c r="AB13" s="196">
        <f>55427-AB16</f>
        <v>52301</v>
      </c>
      <c r="AC13" s="196">
        <f>57654-AC16</f>
        <v>54592</v>
      </c>
      <c r="AD13" s="196">
        <v>61823</v>
      </c>
      <c r="AE13" s="196">
        <f>69877-AE16</f>
        <v>67455</v>
      </c>
      <c r="AF13" s="196">
        <v>72803</v>
      </c>
      <c r="AG13" s="196">
        <f>84825-AG16</f>
        <v>82335</v>
      </c>
      <c r="AH13" s="196">
        <f>88247-AH16</f>
        <v>85480</v>
      </c>
      <c r="AI13" s="196">
        <f>95387-AI16</f>
        <v>92942</v>
      </c>
      <c r="AJ13" s="196">
        <v>108152</v>
      </c>
      <c r="AK13" s="196">
        <f>109547-AK16</f>
        <v>106275</v>
      </c>
      <c r="AL13" s="196">
        <f>112617-AL16</f>
        <v>108482</v>
      </c>
      <c r="AM13" s="196">
        <v>109326</v>
      </c>
      <c r="AN13" s="196">
        <f>153976-AN16</f>
        <v>150689</v>
      </c>
      <c r="AO13" s="196">
        <f>150807-AO16</f>
        <v>147749</v>
      </c>
      <c r="AP13" s="196">
        <f>142751-AP16</f>
        <v>140002</v>
      </c>
      <c r="AQ13" s="196">
        <f>131510-AQ16</f>
        <v>128791</v>
      </c>
      <c r="AR13" s="196">
        <v>133337</v>
      </c>
      <c r="AS13" s="200">
        <v>132547</v>
      </c>
    </row>
    <row r="14" spans="1:93" s="228" customFormat="1" ht="15" customHeight="1" x14ac:dyDescent="0.2">
      <c r="A14" s="226" t="s">
        <v>501</v>
      </c>
      <c r="B14" s="227">
        <v>18634</v>
      </c>
      <c r="C14" s="227">
        <v>19165</v>
      </c>
      <c r="D14" s="227">
        <v>20735</v>
      </c>
      <c r="E14" s="227">
        <v>23410</v>
      </c>
      <c r="F14" s="227">
        <v>24013</v>
      </c>
      <c r="G14" s="227">
        <v>24736</v>
      </c>
      <c r="H14" s="196">
        <v>31979</v>
      </c>
      <c r="I14" s="196">
        <v>31947</v>
      </c>
      <c r="J14" s="196">
        <v>30420</v>
      </c>
      <c r="K14" s="196">
        <v>29081</v>
      </c>
      <c r="L14" s="196">
        <v>27025</v>
      </c>
      <c r="M14" s="196">
        <v>27328</v>
      </c>
      <c r="N14" s="196">
        <v>30208</v>
      </c>
      <c r="O14" s="196">
        <v>35033</v>
      </c>
      <c r="P14" s="196">
        <v>37998</v>
      </c>
      <c r="Q14" s="196">
        <v>38196</v>
      </c>
      <c r="R14" s="196">
        <v>41501</v>
      </c>
      <c r="S14" s="196">
        <v>45207</v>
      </c>
      <c r="T14" s="196">
        <v>49057</v>
      </c>
      <c r="U14" s="196">
        <f>53247+1</f>
        <v>53248</v>
      </c>
      <c r="V14" s="196">
        <v>47112</v>
      </c>
      <c r="W14" s="196">
        <v>47895</v>
      </c>
      <c r="X14" s="196">
        <v>45399</v>
      </c>
      <c r="Y14" s="196">
        <v>44187</v>
      </c>
      <c r="Z14" s="196">
        <v>46209</v>
      </c>
      <c r="AA14" s="196">
        <v>49121</v>
      </c>
      <c r="AB14" s="196">
        <v>51307</v>
      </c>
      <c r="AC14" s="196">
        <v>56095</v>
      </c>
      <c r="AD14" s="196">
        <v>56724</v>
      </c>
      <c r="AE14" s="196">
        <v>54142</v>
      </c>
      <c r="AF14" s="196">
        <v>56561</v>
      </c>
      <c r="AG14" s="196">
        <v>58998</v>
      </c>
      <c r="AH14" s="196">
        <v>62370</v>
      </c>
      <c r="AI14" s="196">
        <v>61369</v>
      </c>
      <c r="AJ14" s="196">
        <v>69654</v>
      </c>
      <c r="AK14" s="196">
        <v>70338</v>
      </c>
      <c r="AL14" s="196">
        <v>62849</v>
      </c>
      <c r="AM14" s="196">
        <v>57532</v>
      </c>
      <c r="AN14" s="196">
        <v>62805</v>
      </c>
      <c r="AO14" s="196">
        <v>58197</v>
      </c>
      <c r="AP14" s="196">
        <v>56417</v>
      </c>
      <c r="AQ14" s="196">
        <v>56547</v>
      </c>
      <c r="AR14" s="196">
        <v>54423</v>
      </c>
      <c r="AS14" s="200">
        <v>51669</v>
      </c>
    </row>
    <row r="15" spans="1:93" s="228" customFormat="1" ht="15" customHeight="1" x14ac:dyDescent="0.2">
      <c r="A15" s="226" t="s">
        <v>502</v>
      </c>
      <c r="B15" s="227">
        <v>12147</v>
      </c>
      <c r="C15" s="227">
        <v>13203</v>
      </c>
      <c r="D15" s="227">
        <v>13441</v>
      </c>
      <c r="E15" s="227">
        <v>15818</v>
      </c>
      <c r="F15" s="227">
        <v>16537</v>
      </c>
      <c r="G15" s="227">
        <v>16686</v>
      </c>
      <c r="H15" s="197">
        <v>17722</v>
      </c>
      <c r="I15" s="196">
        <v>19687</v>
      </c>
      <c r="J15" s="196">
        <v>20274</v>
      </c>
      <c r="K15" s="196">
        <v>20406</v>
      </c>
      <c r="L15" s="196">
        <v>22881</v>
      </c>
      <c r="M15" s="196">
        <v>23104</v>
      </c>
      <c r="N15" s="196">
        <v>23541</v>
      </c>
      <c r="O15" s="196">
        <v>23385</v>
      </c>
      <c r="P15" s="196">
        <v>25697</v>
      </c>
      <c r="Q15" s="196">
        <v>26315</v>
      </c>
      <c r="R15" s="196">
        <v>24408</v>
      </c>
      <c r="S15" s="196">
        <v>24564</v>
      </c>
      <c r="T15" s="196">
        <v>26180</v>
      </c>
      <c r="U15" s="196">
        <v>26910</v>
      </c>
      <c r="V15" s="196">
        <v>30122</v>
      </c>
      <c r="W15" s="196">
        <v>34091</v>
      </c>
      <c r="X15" s="196">
        <v>34507</v>
      </c>
      <c r="Y15" s="196">
        <v>34852</v>
      </c>
      <c r="Z15" s="196">
        <v>35057</v>
      </c>
      <c r="AA15" s="196">
        <v>36222</v>
      </c>
      <c r="AB15" s="196">
        <v>36135</v>
      </c>
      <c r="AC15" s="196">
        <v>35885</v>
      </c>
      <c r="AD15" s="196">
        <v>35840</v>
      </c>
      <c r="AE15" s="196">
        <v>35384</v>
      </c>
      <c r="AF15" s="196">
        <v>36464</v>
      </c>
      <c r="AG15" s="196">
        <v>35822</v>
      </c>
      <c r="AH15" s="196">
        <v>37990</v>
      </c>
      <c r="AI15" s="196">
        <v>37426</v>
      </c>
      <c r="AJ15" s="196">
        <v>38535</v>
      </c>
      <c r="AK15" s="196">
        <v>50283</v>
      </c>
      <c r="AL15" s="196">
        <v>50184</v>
      </c>
      <c r="AM15" s="196">
        <v>50952</v>
      </c>
      <c r="AN15" s="196">
        <v>53843</v>
      </c>
      <c r="AO15" s="196">
        <v>52611</v>
      </c>
      <c r="AP15" s="196">
        <v>50846</v>
      </c>
      <c r="AQ15" s="196">
        <v>53676</v>
      </c>
      <c r="AR15" s="196">
        <v>50534</v>
      </c>
      <c r="AS15" s="200">
        <v>50179</v>
      </c>
    </row>
    <row r="16" spans="1:93" s="92" customFormat="1" ht="15" customHeight="1" x14ac:dyDescent="0.2">
      <c r="A16" s="226" t="s">
        <v>503</v>
      </c>
      <c r="B16" s="238">
        <v>852</v>
      </c>
      <c r="C16" s="227">
        <v>1709</v>
      </c>
      <c r="D16" s="238">
        <v>1588</v>
      </c>
      <c r="E16" s="227">
        <v>2189</v>
      </c>
      <c r="F16" s="238">
        <v>2992</v>
      </c>
      <c r="G16" s="227">
        <v>2684</v>
      </c>
      <c r="H16" s="196">
        <v>3178</v>
      </c>
      <c r="I16" s="196">
        <v>4986</v>
      </c>
      <c r="J16" s="196">
        <v>5116</v>
      </c>
      <c r="K16" s="196">
        <v>4259</v>
      </c>
      <c r="L16" s="196">
        <v>3834</v>
      </c>
      <c r="M16" s="196">
        <v>4021</v>
      </c>
      <c r="N16" s="196">
        <v>4026</v>
      </c>
      <c r="O16" s="196">
        <v>3927</v>
      </c>
      <c r="P16" s="196">
        <v>3874</v>
      </c>
      <c r="Q16" s="196">
        <v>3697</v>
      </c>
      <c r="R16" s="196">
        <v>3501</v>
      </c>
      <c r="S16" s="196">
        <v>3270</v>
      </c>
      <c r="T16" s="196">
        <v>3779</v>
      </c>
      <c r="U16" s="196">
        <v>3939</v>
      </c>
      <c r="V16" s="196">
        <v>3530</v>
      </c>
      <c r="W16" s="196">
        <v>3752</v>
      </c>
      <c r="X16" s="196">
        <v>3587</v>
      </c>
      <c r="Y16" s="196">
        <v>3427</v>
      </c>
      <c r="Z16" s="196">
        <v>3192</v>
      </c>
      <c r="AA16" s="196">
        <v>3309</v>
      </c>
      <c r="AB16" s="196">
        <v>3126</v>
      </c>
      <c r="AC16" s="196">
        <v>3062</v>
      </c>
      <c r="AD16" s="196">
        <v>2688</v>
      </c>
      <c r="AE16" s="196">
        <v>2422</v>
      </c>
      <c r="AF16" s="196">
        <v>2480</v>
      </c>
      <c r="AG16" s="196">
        <v>2490</v>
      </c>
      <c r="AH16" s="196">
        <v>2767</v>
      </c>
      <c r="AI16" s="196">
        <v>2445</v>
      </c>
      <c r="AJ16" s="196">
        <v>2835</v>
      </c>
      <c r="AK16" s="196">
        <v>3272</v>
      </c>
      <c r="AL16" s="196">
        <v>4135</v>
      </c>
      <c r="AM16" s="196">
        <v>3491</v>
      </c>
      <c r="AN16" s="196">
        <v>3287</v>
      </c>
      <c r="AO16" s="196">
        <v>3058</v>
      </c>
      <c r="AP16" s="196">
        <v>2749</v>
      </c>
      <c r="AQ16" s="196">
        <v>2719</v>
      </c>
      <c r="AR16" s="196">
        <v>2502</v>
      </c>
      <c r="AS16" s="200">
        <v>2464</v>
      </c>
    </row>
    <row r="17" spans="1:121" s="228" customFormat="1" ht="15" customHeight="1" x14ac:dyDescent="0.2">
      <c r="A17" s="226" t="s">
        <v>504</v>
      </c>
      <c r="B17" s="227">
        <v>22533</v>
      </c>
      <c r="C17" s="227">
        <v>24080</v>
      </c>
      <c r="D17" s="227">
        <v>25851</v>
      </c>
      <c r="E17" s="227">
        <v>25590</v>
      </c>
      <c r="F17" s="227">
        <v>27769</v>
      </c>
      <c r="G17" s="227">
        <v>28387</v>
      </c>
      <c r="H17" s="196">
        <v>28294</v>
      </c>
      <c r="I17" s="196">
        <v>26967</v>
      </c>
      <c r="J17" s="196">
        <v>27626</v>
      </c>
      <c r="K17" s="196">
        <v>29455</v>
      </c>
      <c r="L17" s="196">
        <v>31009</v>
      </c>
      <c r="M17" s="196">
        <v>32357</v>
      </c>
      <c r="N17" s="196">
        <v>33986</v>
      </c>
      <c r="O17" s="196">
        <v>34741</v>
      </c>
      <c r="P17" s="196">
        <v>36074</v>
      </c>
      <c r="Q17" s="196">
        <v>36814</v>
      </c>
      <c r="R17" s="196">
        <v>40082</v>
      </c>
      <c r="S17" s="196">
        <f>41706-1</f>
        <v>41705</v>
      </c>
      <c r="T17" s="196">
        <v>42294</v>
      </c>
      <c r="U17" s="196">
        <v>40754</v>
      </c>
      <c r="V17" s="196">
        <v>43036</v>
      </c>
      <c r="W17" s="196">
        <v>49050</v>
      </c>
      <c r="X17" s="196">
        <v>50640</v>
      </c>
      <c r="Y17" s="196">
        <v>55822</v>
      </c>
      <c r="Z17" s="196">
        <v>54772</v>
      </c>
      <c r="AA17" s="196">
        <v>51034</v>
      </c>
      <c r="AB17" s="196">
        <f>592+67033-15331</f>
        <v>52294</v>
      </c>
      <c r="AC17" s="196">
        <v>55901</v>
      </c>
      <c r="AD17" s="196">
        <v>58406</v>
      </c>
      <c r="AE17" s="196">
        <f>486+76800-15146</f>
        <v>62140</v>
      </c>
      <c r="AF17" s="196">
        <v>64683</v>
      </c>
      <c r="AG17" s="196">
        <f>393+81508-15070</f>
        <v>66831</v>
      </c>
      <c r="AH17" s="196">
        <f>1500+83937-19381</f>
        <v>66056</v>
      </c>
      <c r="AI17" s="196">
        <f>1481+86972-19163</f>
        <v>69290</v>
      </c>
      <c r="AJ17" s="196">
        <v>68618</v>
      </c>
      <c r="AK17" s="196">
        <f>1486+88907-19987</f>
        <v>70406</v>
      </c>
      <c r="AL17" s="196">
        <f>1519+93330-19631</f>
        <v>75218</v>
      </c>
      <c r="AM17" s="196">
        <v>78500</v>
      </c>
      <c r="AN17" s="196">
        <f>1527+98550-30660</f>
        <v>69417</v>
      </c>
      <c r="AO17" s="196">
        <f>1546+100442-31286</f>
        <v>70702</v>
      </c>
      <c r="AP17" s="196">
        <f>1586+104558-30191</f>
        <v>75953</v>
      </c>
      <c r="AQ17" s="196">
        <v>79193</v>
      </c>
      <c r="AR17" s="196">
        <v>82130</v>
      </c>
      <c r="AS17" s="200">
        <v>81720</v>
      </c>
    </row>
    <row r="18" spans="1:121" s="228" customFormat="1" ht="15" customHeight="1" x14ac:dyDescent="0.2">
      <c r="A18" s="226" t="s">
        <v>505</v>
      </c>
      <c r="B18" s="227">
        <v>1995</v>
      </c>
      <c r="C18" s="227">
        <v>1566</v>
      </c>
      <c r="D18" s="227">
        <v>1720</v>
      </c>
      <c r="E18" s="227">
        <v>229</v>
      </c>
      <c r="F18" s="227">
        <v>2711</v>
      </c>
      <c r="G18" s="227">
        <v>2288</v>
      </c>
      <c r="H18" s="237">
        <v>2295</v>
      </c>
      <c r="I18" s="237">
        <v>256</v>
      </c>
      <c r="J18" s="196">
        <v>2498</v>
      </c>
      <c r="K18" s="196">
        <v>2065</v>
      </c>
      <c r="L18" s="196">
        <v>2039</v>
      </c>
      <c r="M18" s="196">
        <v>258</v>
      </c>
      <c r="N18" s="196">
        <v>3015</v>
      </c>
      <c r="O18" s="196">
        <v>2397</v>
      </c>
      <c r="P18" s="196">
        <v>2629</v>
      </c>
      <c r="Q18" s="196">
        <v>300</v>
      </c>
      <c r="R18" s="196">
        <v>4145</v>
      </c>
      <c r="S18" s="196">
        <v>3147</v>
      </c>
      <c r="T18" s="196">
        <v>3021</v>
      </c>
      <c r="U18" s="196">
        <v>338</v>
      </c>
      <c r="V18" s="196">
        <v>5539</v>
      </c>
      <c r="W18" s="196">
        <v>3155</v>
      </c>
      <c r="X18" s="196">
        <v>3228</v>
      </c>
      <c r="Y18" s="196">
        <v>439</v>
      </c>
      <c r="Z18" s="196">
        <v>3253</v>
      </c>
      <c r="AA18" s="196">
        <v>3379</v>
      </c>
      <c r="AB18" s="196">
        <v>3552</v>
      </c>
      <c r="AC18" s="196">
        <v>815</v>
      </c>
      <c r="AD18" s="196">
        <v>3842</v>
      </c>
      <c r="AE18" s="196">
        <v>3737</v>
      </c>
      <c r="AF18" s="196">
        <v>3927</v>
      </c>
      <c r="AG18" s="196">
        <v>435</v>
      </c>
      <c r="AH18" s="196">
        <v>6564</v>
      </c>
      <c r="AI18" s="196">
        <v>3425</v>
      </c>
      <c r="AJ18" s="196">
        <v>3681</v>
      </c>
      <c r="AK18" s="196">
        <v>601</v>
      </c>
      <c r="AL18" s="196">
        <v>5126</v>
      </c>
      <c r="AM18" s="196">
        <v>3442</v>
      </c>
      <c r="AN18" s="196">
        <v>3749</v>
      </c>
      <c r="AO18" s="196">
        <v>732</v>
      </c>
      <c r="AP18" s="196">
        <v>4490</v>
      </c>
      <c r="AQ18" s="196">
        <v>3362</v>
      </c>
      <c r="AR18" s="196">
        <v>4353</v>
      </c>
      <c r="AS18" s="200">
        <v>1114</v>
      </c>
    </row>
    <row r="19" spans="1:121" s="228" customFormat="1" ht="15" customHeight="1" x14ac:dyDescent="0.2">
      <c r="A19" s="226" t="s">
        <v>506</v>
      </c>
      <c r="B19" s="227">
        <v>8415</v>
      </c>
      <c r="C19" s="227">
        <v>6405</v>
      </c>
      <c r="D19" s="227">
        <v>6091</v>
      </c>
      <c r="E19" s="227">
        <v>3467</v>
      </c>
      <c r="F19" s="227">
        <v>7319</v>
      </c>
      <c r="G19" s="227">
        <v>5547</v>
      </c>
      <c r="H19" s="196">
        <v>5978</v>
      </c>
      <c r="I19" s="196">
        <v>13538</v>
      </c>
      <c r="J19" s="196">
        <v>22367</v>
      </c>
      <c r="K19" s="196">
        <v>11128</v>
      </c>
      <c r="L19" s="196">
        <v>5820</v>
      </c>
      <c r="M19" s="196">
        <v>3918</v>
      </c>
      <c r="N19" s="196">
        <v>5452</v>
      </c>
      <c r="O19" s="196">
        <v>7485</v>
      </c>
      <c r="P19" s="196">
        <v>13697</v>
      </c>
      <c r="Q19" s="196">
        <v>5632</v>
      </c>
      <c r="R19" s="196">
        <v>11060</v>
      </c>
      <c r="S19" s="196">
        <v>7908</v>
      </c>
      <c r="T19" s="196">
        <v>7091</v>
      </c>
      <c r="U19" s="196">
        <v>3123</v>
      </c>
      <c r="V19" s="196">
        <v>5953</v>
      </c>
      <c r="W19" s="196">
        <v>6733</v>
      </c>
      <c r="X19" s="196">
        <v>3767</v>
      </c>
      <c r="Y19" s="196">
        <v>5071</v>
      </c>
      <c r="Z19" s="196">
        <v>6385</v>
      </c>
      <c r="AA19" s="196">
        <v>5603</v>
      </c>
      <c r="AB19" s="196">
        <f>16561-6238</f>
        <v>10323</v>
      </c>
      <c r="AC19" s="196">
        <v>7771</v>
      </c>
      <c r="AD19" s="196">
        <v>11995</v>
      </c>
      <c r="AE19" s="196">
        <f>11966-6414</f>
        <v>5552</v>
      </c>
      <c r="AF19" s="196">
        <v>5611</v>
      </c>
      <c r="AG19" s="196">
        <f>11261-5876</f>
        <v>5385</v>
      </c>
      <c r="AH19" s="196">
        <f>11722-7036</f>
        <v>4686</v>
      </c>
      <c r="AI19" s="196">
        <f>15977-7835</f>
        <v>8142</v>
      </c>
      <c r="AJ19" s="196">
        <v>12302</v>
      </c>
      <c r="AK19" s="196">
        <f>13264-7647</f>
        <v>5617</v>
      </c>
      <c r="AL19" s="196">
        <f>26445-9087</f>
        <v>17358</v>
      </c>
      <c r="AM19" s="196">
        <v>25426</v>
      </c>
      <c r="AN19" s="196">
        <f>24186-10079</f>
        <v>14107</v>
      </c>
      <c r="AO19" s="196">
        <v>8749</v>
      </c>
      <c r="AP19" s="196">
        <f>21125-10162</f>
        <v>10963</v>
      </c>
      <c r="AQ19" s="196">
        <f>17070-9964</f>
        <v>7106</v>
      </c>
      <c r="AR19" s="196">
        <v>10823</v>
      </c>
      <c r="AS19" s="200">
        <v>7655</v>
      </c>
    </row>
    <row r="20" spans="1:121" s="228" customFormat="1" ht="15" customHeight="1" x14ac:dyDescent="0.2">
      <c r="A20" s="226" t="s">
        <v>507</v>
      </c>
      <c r="B20" s="227">
        <v>50653</v>
      </c>
      <c r="C20" s="227">
        <v>52900</v>
      </c>
      <c r="D20" s="227">
        <v>55319</v>
      </c>
      <c r="E20" s="227">
        <v>58526</v>
      </c>
      <c r="F20" s="227">
        <v>59722</v>
      </c>
      <c r="G20" s="227">
        <v>62068</v>
      </c>
      <c r="H20" s="237">
        <v>62888</v>
      </c>
      <c r="I20" s="237">
        <v>64587</v>
      </c>
      <c r="J20" s="196">
        <v>66673</v>
      </c>
      <c r="K20" s="196">
        <v>68829</v>
      </c>
      <c r="L20" s="196">
        <v>71401</v>
      </c>
      <c r="M20" s="196">
        <v>75572</v>
      </c>
      <c r="N20" s="196">
        <v>77685</v>
      </c>
      <c r="O20" s="196">
        <v>79308</v>
      </c>
      <c r="P20" s="196">
        <v>82363</v>
      </c>
      <c r="Q20" s="196">
        <v>87177</v>
      </c>
      <c r="R20" s="196">
        <v>89980</v>
      </c>
      <c r="S20" s="196">
        <v>93938</v>
      </c>
      <c r="T20" s="196">
        <v>97099</v>
      </c>
      <c r="U20" s="196">
        <v>103653</v>
      </c>
      <c r="V20" s="196">
        <v>106953</v>
      </c>
      <c r="W20" s="196">
        <v>111789</v>
      </c>
      <c r="X20" s="196">
        <v>117807</v>
      </c>
      <c r="Y20" s="196">
        <v>124217</v>
      </c>
      <c r="Z20" s="196">
        <v>127367</v>
      </c>
      <c r="AA20" s="196">
        <v>131819</v>
      </c>
      <c r="AB20" s="196">
        <v>133554</v>
      </c>
      <c r="AC20" s="196">
        <v>136229</v>
      </c>
      <c r="AD20" s="196">
        <v>137751</v>
      </c>
      <c r="AE20" s="196">
        <v>142731</v>
      </c>
      <c r="AF20" s="196">
        <v>145969</v>
      </c>
      <c r="AG20" s="196">
        <v>153267</v>
      </c>
      <c r="AH20" s="196">
        <v>157295</v>
      </c>
      <c r="AI20" s="196">
        <v>164566</v>
      </c>
      <c r="AJ20" s="196">
        <v>168629</v>
      </c>
      <c r="AK20" s="196">
        <v>177834</v>
      </c>
      <c r="AL20" s="196">
        <v>182973</v>
      </c>
      <c r="AM20" s="196">
        <v>190649</v>
      </c>
      <c r="AN20" s="196">
        <v>213608</v>
      </c>
      <c r="AO20" s="196">
        <v>223342</v>
      </c>
      <c r="AP20" s="196">
        <v>229433</v>
      </c>
      <c r="AQ20" s="196">
        <v>233640</v>
      </c>
      <c r="AR20" s="196">
        <v>239287</v>
      </c>
      <c r="AS20" s="200">
        <v>246653</v>
      </c>
    </row>
    <row r="21" spans="1:121" s="228" customFormat="1" ht="5.0999999999999996" customHeight="1" x14ac:dyDescent="0.2">
      <c r="A21" s="226"/>
      <c r="B21" s="227"/>
      <c r="C21" s="227"/>
      <c r="D21" s="227"/>
      <c r="E21" s="227"/>
      <c r="F21" s="227"/>
      <c r="G21" s="227"/>
      <c r="H21" s="196"/>
      <c r="I21" s="196"/>
      <c r="J21" s="196"/>
      <c r="K21" s="196"/>
      <c r="L21" s="196"/>
      <c r="M21" s="196"/>
      <c r="N21" s="196"/>
      <c r="O21" s="196"/>
      <c r="P21" s="196"/>
      <c r="Q21" s="196"/>
      <c r="R21" s="196"/>
      <c r="S21" s="196"/>
      <c r="T21" s="196"/>
      <c r="U21" s="196"/>
      <c r="V21" s="196"/>
      <c r="W21" s="196"/>
      <c r="X21" s="196"/>
      <c r="Y21" s="196"/>
      <c r="Z21" s="196"/>
      <c r="AA21" s="196"/>
      <c r="AB21" s="196"/>
      <c r="AC21" s="196"/>
      <c r="AD21" s="196"/>
      <c r="AE21" s="196"/>
      <c r="AF21" s="196"/>
      <c r="AG21" s="196"/>
      <c r="AH21" s="196"/>
      <c r="AI21" s="196"/>
      <c r="AJ21" s="196"/>
      <c r="AK21" s="196"/>
      <c r="AL21" s="196"/>
      <c r="AM21" s="196"/>
      <c r="AN21" s="196"/>
      <c r="AO21" s="196"/>
      <c r="AP21" s="196"/>
      <c r="AQ21" s="196"/>
      <c r="AR21" s="196"/>
      <c r="AS21" s="200"/>
    </row>
    <row r="22" spans="1:121" s="232" customFormat="1" ht="15" customHeight="1" x14ac:dyDescent="0.2">
      <c r="A22" s="229" t="s">
        <v>508</v>
      </c>
      <c r="B22" s="230">
        <f t="shared" ref="B22:AL22" si="3">SUM(B23:B24)</f>
        <v>151651</v>
      </c>
      <c r="C22" s="230">
        <f t="shared" si="3"/>
        <v>161281</v>
      </c>
      <c r="D22" s="230">
        <f t="shared" si="3"/>
        <v>167587</v>
      </c>
      <c r="E22" s="230">
        <f t="shared" si="3"/>
        <v>177486</v>
      </c>
      <c r="F22" s="230">
        <f t="shared" si="3"/>
        <v>183822</v>
      </c>
      <c r="G22" s="230">
        <f t="shared" si="3"/>
        <v>184385</v>
      </c>
      <c r="H22" s="231">
        <f t="shared" si="3"/>
        <v>187995</v>
      </c>
      <c r="I22" s="231">
        <f t="shared" si="3"/>
        <v>187151</v>
      </c>
      <c r="J22" s="231">
        <f t="shared" si="3"/>
        <v>200975</v>
      </c>
      <c r="K22" s="231">
        <f t="shared" si="3"/>
        <v>211694</v>
      </c>
      <c r="L22" s="231">
        <f t="shared" si="3"/>
        <v>236911</v>
      </c>
      <c r="M22" s="231">
        <f t="shared" si="3"/>
        <v>247700</v>
      </c>
      <c r="N22" s="231">
        <f t="shared" si="3"/>
        <v>258563</v>
      </c>
      <c r="O22" s="231">
        <f t="shared" si="3"/>
        <v>263297</v>
      </c>
      <c r="P22" s="239">
        <f t="shared" si="3"/>
        <v>283046</v>
      </c>
      <c r="Q22" s="239">
        <f t="shared" si="3"/>
        <v>295708</v>
      </c>
      <c r="R22" s="231">
        <f t="shared" si="3"/>
        <v>303319</v>
      </c>
      <c r="S22" s="231">
        <f t="shared" si="3"/>
        <v>310682</v>
      </c>
      <c r="T22" s="231">
        <f t="shared" si="3"/>
        <v>319451</v>
      </c>
      <c r="U22" s="231">
        <f t="shared" si="3"/>
        <v>335370</v>
      </c>
      <c r="V22" s="231">
        <f t="shared" si="3"/>
        <v>372266</v>
      </c>
      <c r="W22" s="231">
        <f t="shared" si="3"/>
        <v>383589</v>
      </c>
      <c r="X22" s="231">
        <f t="shared" si="3"/>
        <v>404443</v>
      </c>
      <c r="Y22" s="231">
        <f t="shared" si="3"/>
        <v>441832</v>
      </c>
      <c r="Z22" s="231">
        <f t="shared" si="3"/>
        <v>435380</v>
      </c>
      <c r="AA22" s="231">
        <f t="shared" si="3"/>
        <v>427237</v>
      </c>
      <c r="AB22" s="231">
        <f t="shared" si="3"/>
        <v>438270</v>
      </c>
      <c r="AC22" s="231">
        <f t="shared" si="3"/>
        <v>435364</v>
      </c>
      <c r="AD22" s="231">
        <f t="shared" si="3"/>
        <v>439176</v>
      </c>
      <c r="AE22" s="231">
        <f t="shared" si="3"/>
        <v>462246</v>
      </c>
      <c r="AF22" s="231">
        <f t="shared" si="3"/>
        <v>486941</v>
      </c>
      <c r="AG22" s="231">
        <f t="shared" si="3"/>
        <v>488730</v>
      </c>
      <c r="AH22" s="231">
        <f t="shared" si="3"/>
        <v>492440</v>
      </c>
      <c r="AI22" s="231">
        <f t="shared" si="3"/>
        <v>514728</v>
      </c>
      <c r="AJ22" s="231">
        <f t="shared" si="3"/>
        <v>518638</v>
      </c>
      <c r="AK22" s="231">
        <f t="shared" si="3"/>
        <v>550284</v>
      </c>
      <c r="AL22" s="231">
        <f t="shared" si="3"/>
        <v>596440</v>
      </c>
      <c r="AM22" s="231">
        <f t="shared" ref="AM22:AS22" si="4">SUM(AM23:AM24)</f>
        <v>603448</v>
      </c>
      <c r="AN22" s="231">
        <f t="shared" si="4"/>
        <v>733757</v>
      </c>
      <c r="AO22" s="231">
        <f t="shared" si="4"/>
        <v>756488</v>
      </c>
      <c r="AP22" s="231">
        <f t="shared" si="4"/>
        <v>786139</v>
      </c>
      <c r="AQ22" s="231">
        <f t="shared" si="4"/>
        <v>776647</v>
      </c>
      <c r="AR22" s="231">
        <f t="shared" si="4"/>
        <v>820682</v>
      </c>
      <c r="AS22" s="420">
        <f t="shared" si="4"/>
        <v>834646</v>
      </c>
    </row>
    <row r="23" spans="1:121" s="228" customFormat="1" ht="15" customHeight="1" x14ac:dyDescent="0.2">
      <c r="A23" s="226" t="s">
        <v>119</v>
      </c>
      <c r="B23" s="227">
        <v>144277</v>
      </c>
      <c r="C23" s="227">
        <v>153778</v>
      </c>
      <c r="D23" s="227">
        <v>159109</v>
      </c>
      <c r="E23" s="227">
        <v>163963</v>
      </c>
      <c r="F23" s="227">
        <v>167662</v>
      </c>
      <c r="G23" s="227">
        <v>167542</v>
      </c>
      <c r="H23" s="196">
        <v>170089</v>
      </c>
      <c r="I23" s="196">
        <v>171019</v>
      </c>
      <c r="J23" s="196">
        <v>184106</v>
      </c>
      <c r="K23" s="196">
        <v>193640</v>
      </c>
      <c r="L23" s="196">
        <v>218973</v>
      </c>
      <c r="M23" s="196">
        <v>230652</v>
      </c>
      <c r="N23" s="196">
        <v>239287</v>
      </c>
      <c r="O23" s="196">
        <v>244732</v>
      </c>
      <c r="P23" s="240">
        <v>263864</v>
      </c>
      <c r="Q23" s="240">
        <v>275607</v>
      </c>
      <c r="R23" s="196">
        <v>282472</v>
      </c>
      <c r="S23" s="196">
        <v>291012</v>
      </c>
      <c r="T23" s="196">
        <v>300680</v>
      </c>
      <c r="U23" s="196">
        <v>316207</v>
      </c>
      <c r="V23" s="196">
        <v>352906</v>
      </c>
      <c r="W23" s="196">
        <v>364620</v>
      </c>
      <c r="X23" s="196">
        <v>373305</v>
      </c>
      <c r="Y23" s="196">
        <v>406715</v>
      </c>
      <c r="Z23" s="196">
        <v>400835</v>
      </c>
      <c r="AA23" s="196">
        <v>394023</v>
      </c>
      <c r="AB23" s="196">
        <v>404355</v>
      </c>
      <c r="AC23" s="196">
        <v>407874</v>
      </c>
      <c r="AD23" s="196">
        <v>408277</v>
      </c>
      <c r="AE23" s="196">
        <v>429164</v>
      </c>
      <c r="AF23" s="196">
        <v>453859</v>
      </c>
      <c r="AG23" s="196">
        <v>452103</v>
      </c>
      <c r="AH23" s="196">
        <v>455702</v>
      </c>
      <c r="AI23" s="196">
        <v>473933</v>
      </c>
      <c r="AJ23" s="196">
        <v>479656</v>
      </c>
      <c r="AK23" s="196">
        <v>510343</v>
      </c>
      <c r="AL23" s="196">
        <v>553873</v>
      </c>
      <c r="AM23" s="196">
        <v>556754</v>
      </c>
      <c r="AN23" s="196">
        <v>679402</v>
      </c>
      <c r="AO23" s="196">
        <v>708757</v>
      </c>
      <c r="AP23" s="196">
        <v>732659</v>
      </c>
      <c r="AQ23" s="196">
        <v>721462</v>
      </c>
      <c r="AR23" s="196">
        <v>761972</v>
      </c>
      <c r="AS23" s="200">
        <v>771915</v>
      </c>
    </row>
    <row r="24" spans="1:121" s="228" customFormat="1" ht="15" customHeight="1" x14ac:dyDescent="0.2">
      <c r="A24" s="226" t="s">
        <v>509</v>
      </c>
      <c r="B24" s="227">
        <v>7374</v>
      </c>
      <c r="C24" s="227">
        <v>7503</v>
      </c>
      <c r="D24" s="227">
        <v>8478</v>
      </c>
      <c r="E24" s="227">
        <v>13523</v>
      </c>
      <c r="F24" s="227">
        <v>16160</v>
      </c>
      <c r="G24" s="227">
        <v>16843</v>
      </c>
      <c r="H24" s="196">
        <v>17906</v>
      </c>
      <c r="I24" s="196">
        <v>16132</v>
      </c>
      <c r="J24" s="196">
        <v>16869</v>
      </c>
      <c r="K24" s="196">
        <v>18054</v>
      </c>
      <c r="L24" s="196">
        <v>17938</v>
      </c>
      <c r="M24" s="196">
        <v>17048</v>
      </c>
      <c r="N24" s="196">
        <v>19276</v>
      </c>
      <c r="O24" s="196">
        <v>18565</v>
      </c>
      <c r="P24" s="240">
        <v>19182</v>
      </c>
      <c r="Q24" s="240">
        <v>20101</v>
      </c>
      <c r="R24" s="196">
        <v>20847</v>
      </c>
      <c r="S24" s="196">
        <v>19670</v>
      </c>
      <c r="T24" s="196">
        <v>18771</v>
      </c>
      <c r="U24" s="196">
        <v>19163</v>
      </c>
      <c r="V24" s="196">
        <v>19360</v>
      </c>
      <c r="W24" s="196">
        <v>18969</v>
      </c>
      <c r="X24" s="196">
        <v>31138</v>
      </c>
      <c r="Y24" s="196">
        <v>35117</v>
      </c>
      <c r="Z24" s="196">
        <v>34545</v>
      </c>
      <c r="AA24" s="196">
        <v>33214</v>
      </c>
      <c r="AB24" s="196">
        <v>33915</v>
      </c>
      <c r="AC24" s="196">
        <v>27490</v>
      </c>
      <c r="AD24" s="196">
        <v>30899</v>
      </c>
      <c r="AE24" s="196">
        <v>33082</v>
      </c>
      <c r="AF24" s="196">
        <v>33082</v>
      </c>
      <c r="AG24" s="196">
        <v>36627</v>
      </c>
      <c r="AH24" s="196">
        <v>36738</v>
      </c>
      <c r="AI24" s="196">
        <v>40795</v>
      </c>
      <c r="AJ24" s="196">
        <v>38982</v>
      </c>
      <c r="AK24" s="196">
        <v>39941</v>
      </c>
      <c r="AL24" s="196">
        <v>42567</v>
      </c>
      <c r="AM24" s="196">
        <v>46694</v>
      </c>
      <c r="AN24" s="196">
        <v>54355</v>
      </c>
      <c r="AO24" s="196">
        <v>47731</v>
      </c>
      <c r="AP24" s="196">
        <v>53480</v>
      </c>
      <c r="AQ24" s="196">
        <v>55185</v>
      </c>
      <c r="AR24" s="196">
        <v>58710</v>
      </c>
      <c r="AS24" s="200">
        <v>62731</v>
      </c>
    </row>
    <row r="25" spans="1:121" s="92" customFormat="1" ht="5.0999999999999996" customHeight="1" x14ac:dyDescent="0.2">
      <c r="A25" s="226"/>
      <c r="B25" s="227"/>
      <c r="C25" s="227"/>
      <c r="D25" s="227"/>
      <c r="E25" s="227"/>
      <c r="F25" s="227"/>
      <c r="G25" s="227"/>
      <c r="H25" s="196"/>
      <c r="I25" s="196"/>
      <c r="J25" s="196"/>
      <c r="K25" s="196"/>
      <c r="L25" s="196" t="s">
        <v>4</v>
      </c>
      <c r="M25" s="196" t="s">
        <v>4</v>
      </c>
      <c r="N25" s="196"/>
      <c r="O25" s="196"/>
      <c r="P25" s="240"/>
      <c r="Q25" s="240"/>
      <c r="R25" s="196"/>
      <c r="S25" s="196"/>
      <c r="T25" s="196"/>
      <c r="U25" s="196"/>
      <c r="V25" s="196"/>
      <c r="W25" s="196"/>
      <c r="X25" s="196"/>
      <c r="Y25" s="196"/>
      <c r="Z25" s="196"/>
      <c r="AA25" s="196"/>
      <c r="AB25" s="196"/>
      <c r="AC25" s="196"/>
      <c r="AD25" s="196"/>
      <c r="AE25" s="196"/>
      <c r="AF25" s="196"/>
      <c r="AG25" s="196"/>
      <c r="AH25" s="196"/>
      <c r="AI25" s="196"/>
      <c r="AJ25" s="196"/>
      <c r="AK25" s="196"/>
      <c r="AL25" s="196"/>
      <c r="AM25" s="196"/>
      <c r="AN25" s="196"/>
      <c r="AO25" s="196"/>
      <c r="AP25" s="196"/>
      <c r="AQ25" s="196"/>
      <c r="AR25" s="196"/>
      <c r="AS25" s="196"/>
    </row>
    <row r="26" spans="1:121" s="178" customFormat="1" ht="15" customHeight="1" thickBot="1" x14ac:dyDescent="0.25">
      <c r="A26" s="175" t="s">
        <v>10</v>
      </c>
      <c r="B26" s="176">
        <f t="shared" ref="B26:AL26" si="5">B10+B22</f>
        <v>406970</v>
      </c>
      <c r="C26" s="176">
        <f t="shared" si="5"/>
        <v>421602</v>
      </c>
      <c r="D26" s="176">
        <f t="shared" si="5"/>
        <v>452698</v>
      </c>
      <c r="E26" s="176">
        <f t="shared" si="5"/>
        <v>482971</v>
      </c>
      <c r="F26" s="176">
        <f t="shared" si="5"/>
        <v>505365</v>
      </c>
      <c r="G26" s="176">
        <f t="shared" si="5"/>
        <v>550582</v>
      </c>
      <c r="H26" s="176">
        <f t="shared" si="5"/>
        <v>570320</v>
      </c>
      <c r="I26" s="176">
        <f t="shared" si="5"/>
        <v>597615</v>
      </c>
      <c r="J26" s="176">
        <f t="shared" si="5"/>
        <v>640876</v>
      </c>
      <c r="K26" s="176">
        <f t="shared" si="5"/>
        <v>647574</v>
      </c>
      <c r="L26" s="176">
        <f t="shared" si="5"/>
        <v>674788</v>
      </c>
      <c r="M26" s="176">
        <f t="shared" si="5"/>
        <v>702065</v>
      </c>
      <c r="N26" s="176">
        <f t="shared" si="5"/>
        <v>739894</v>
      </c>
      <c r="O26" s="176">
        <f t="shared" si="5"/>
        <v>767962</v>
      </c>
      <c r="P26" s="176">
        <f t="shared" si="5"/>
        <v>838455</v>
      </c>
      <c r="Q26" s="176">
        <f t="shared" si="5"/>
        <v>872514</v>
      </c>
      <c r="R26" s="176">
        <f t="shared" si="5"/>
        <v>919007</v>
      </c>
      <c r="S26" s="176">
        <f t="shared" si="5"/>
        <v>933960</v>
      </c>
      <c r="T26" s="176">
        <f t="shared" si="5"/>
        <v>973194</v>
      </c>
      <c r="U26" s="176">
        <f t="shared" si="5"/>
        <v>1019790</v>
      </c>
      <c r="V26" s="176">
        <f t="shared" si="5"/>
        <v>1087270</v>
      </c>
      <c r="W26" s="176">
        <f t="shared" si="5"/>
        <v>1130504</v>
      </c>
      <c r="X26" s="176">
        <f t="shared" si="5"/>
        <v>1172008</v>
      </c>
      <c r="Y26" s="176">
        <f t="shared" si="5"/>
        <v>1225228</v>
      </c>
      <c r="Z26" s="176">
        <f t="shared" si="5"/>
        <v>1243170</v>
      </c>
      <c r="AA26" s="176">
        <f t="shared" si="5"/>
        <v>1233546</v>
      </c>
      <c r="AB26" s="176">
        <f t="shared" si="5"/>
        <v>1256220</v>
      </c>
      <c r="AC26" s="176">
        <f t="shared" si="5"/>
        <v>1260056</v>
      </c>
      <c r="AD26" s="176">
        <f t="shared" si="5"/>
        <v>1277670</v>
      </c>
      <c r="AE26" s="176">
        <f t="shared" si="5"/>
        <v>1304690</v>
      </c>
      <c r="AF26" s="176">
        <f t="shared" si="5"/>
        <v>1385135</v>
      </c>
      <c r="AG26" s="176">
        <f t="shared" si="5"/>
        <v>1426099</v>
      </c>
      <c r="AH26" s="176">
        <f t="shared" si="5"/>
        <v>1431090</v>
      </c>
      <c r="AI26" s="176">
        <f t="shared" si="5"/>
        <v>1443989</v>
      </c>
      <c r="AJ26" s="176">
        <f t="shared" si="5"/>
        <v>1452528</v>
      </c>
      <c r="AK26" s="176">
        <f t="shared" si="5"/>
        <v>1510396</v>
      </c>
      <c r="AL26" s="176">
        <f t="shared" si="5"/>
        <v>1589307</v>
      </c>
      <c r="AM26" s="176">
        <f t="shared" ref="AM26:AR26" si="6">AM10+AM22</f>
        <v>1589319</v>
      </c>
      <c r="AN26" s="176">
        <f t="shared" si="6"/>
        <v>1865755</v>
      </c>
      <c r="AO26" s="176">
        <f t="shared" si="6"/>
        <v>1904912</v>
      </c>
      <c r="AP26" s="176">
        <f t="shared" si="6"/>
        <v>1943687</v>
      </c>
      <c r="AQ26" s="176">
        <f t="shared" si="6"/>
        <v>1917827</v>
      </c>
      <c r="AR26" s="176">
        <f t="shared" si="6"/>
        <v>1991708</v>
      </c>
      <c r="AS26" s="176">
        <f t="shared" ref="AS26" si="7">AS10+AS22</f>
        <v>1987487</v>
      </c>
      <c r="AT26" s="193"/>
      <c r="AU26" s="193"/>
      <c r="AV26" s="193"/>
      <c r="AW26" s="193"/>
      <c r="AX26" s="193"/>
      <c r="AY26" s="193"/>
      <c r="AZ26" s="193"/>
      <c r="BA26" s="193"/>
      <c r="BB26" s="193"/>
      <c r="BC26" s="193"/>
      <c r="BD26" s="193"/>
      <c r="BE26" s="193"/>
      <c r="BF26" s="193"/>
      <c r="BG26" s="193"/>
      <c r="BH26" s="193"/>
      <c r="BI26" s="193"/>
      <c r="BJ26" s="193"/>
      <c r="BK26" s="193"/>
      <c r="BL26" s="193"/>
      <c r="BM26" s="193"/>
      <c r="BN26" s="193"/>
      <c r="BO26" s="193"/>
      <c r="BP26" s="193"/>
      <c r="BQ26" s="193"/>
      <c r="BR26" s="193"/>
      <c r="BS26" s="193"/>
      <c r="BT26" s="193"/>
      <c r="BU26" s="193"/>
      <c r="BV26" s="193"/>
      <c r="BW26" s="193"/>
      <c r="BX26" s="193"/>
      <c r="BY26" s="193"/>
      <c r="BZ26" s="193"/>
      <c r="CA26" s="193"/>
      <c r="CB26" s="193"/>
      <c r="CC26" s="193"/>
      <c r="CD26" s="193"/>
      <c r="CE26" s="193"/>
      <c r="CF26" s="193"/>
      <c r="CG26" s="193"/>
      <c r="CH26" s="193"/>
      <c r="CI26" s="193"/>
      <c r="CJ26" s="193"/>
      <c r="CK26" s="193"/>
      <c r="CL26" s="193"/>
      <c r="CM26" s="193"/>
      <c r="CN26" s="193"/>
      <c r="CO26" s="193"/>
      <c r="CP26" s="193"/>
      <c r="CQ26" s="193"/>
      <c r="CR26" s="193"/>
      <c r="CS26" s="193"/>
      <c r="CT26" s="193"/>
      <c r="CU26" s="193"/>
      <c r="CV26" s="193"/>
      <c r="CW26" s="193"/>
      <c r="CX26" s="193"/>
      <c r="CY26" s="193"/>
      <c r="CZ26" s="193"/>
      <c r="DA26" s="193"/>
      <c r="DB26" s="193"/>
      <c r="DC26" s="193"/>
      <c r="DD26" s="193"/>
      <c r="DE26" s="193"/>
      <c r="DF26" s="193"/>
      <c r="DG26" s="193"/>
      <c r="DH26" s="193"/>
      <c r="DI26" s="193"/>
      <c r="DJ26" s="193"/>
      <c r="DK26" s="193"/>
      <c r="DL26" s="193"/>
      <c r="DM26" s="193"/>
      <c r="DN26" s="193"/>
      <c r="DO26" s="193"/>
      <c r="DP26" s="193"/>
      <c r="DQ26" s="193"/>
    </row>
    <row r="27" spans="1:121" s="99" customFormat="1" ht="15" customHeight="1" thickTop="1" x14ac:dyDescent="0.2"/>
    <row r="28" spans="1:121" s="99" customFormat="1" ht="15" customHeight="1" x14ac:dyDescent="0.2">
      <c r="A28" s="459" t="s">
        <v>638</v>
      </c>
      <c r="R28" s="98"/>
      <c r="S28" s="98"/>
      <c r="T28" s="98"/>
      <c r="U28" s="98"/>
      <c r="V28" s="98"/>
      <c r="W28" s="98"/>
      <c r="X28" s="98"/>
      <c r="Y28" s="98"/>
      <c r="Z28" s="98"/>
      <c r="AA28" s="98"/>
      <c r="AB28" s="98"/>
      <c r="AC28" s="98"/>
      <c r="AD28" s="98"/>
      <c r="AE28" s="98"/>
      <c r="AF28" s="98"/>
      <c r="AG28" s="98"/>
      <c r="AH28" s="98"/>
      <c r="AI28" s="98"/>
      <c r="AJ28" s="98"/>
      <c r="AK28" s="98"/>
    </row>
    <row r="29" spans="1:121" s="99" customFormat="1" ht="15" customHeight="1" x14ac:dyDescent="0.2"/>
    <row r="30" spans="1:121" s="99" customFormat="1" ht="15" customHeight="1" x14ac:dyDescent="0.2"/>
    <row r="31" spans="1:121" s="99" customFormat="1" ht="15" customHeight="1" x14ac:dyDescent="0.2"/>
    <row r="32" spans="1:121" s="99" customFormat="1" ht="15" customHeight="1" x14ac:dyDescent="0.2"/>
    <row r="33" s="99" customFormat="1" ht="15" customHeight="1" x14ac:dyDescent="0.2"/>
    <row r="34" s="99" customFormat="1" ht="15" customHeight="1" x14ac:dyDescent="0.2"/>
    <row r="35" s="99" customFormat="1" ht="15" customHeight="1" x14ac:dyDescent="0.2"/>
    <row r="36" s="99" customFormat="1" ht="15" customHeight="1" x14ac:dyDescent="0.2"/>
    <row r="37" s="99" customFormat="1" ht="15" customHeight="1" x14ac:dyDescent="0.2"/>
    <row r="38" s="99" customFormat="1" ht="15" customHeight="1" x14ac:dyDescent="0.2"/>
    <row r="39" s="99" customFormat="1" ht="15" customHeight="1" x14ac:dyDescent="0.2"/>
    <row r="40" s="99" customFormat="1" ht="15" customHeight="1" x14ac:dyDescent="0.2"/>
    <row r="41" s="99" customFormat="1" ht="15" customHeight="1" x14ac:dyDescent="0.2"/>
    <row r="42" s="99" customFormat="1" ht="15" customHeight="1" x14ac:dyDescent="0.2"/>
    <row r="43" s="99" customFormat="1" ht="15" customHeight="1" x14ac:dyDescent="0.2"/>
    <row r="44" s="99" customFormat="1" ht="15" customHeight="1" x14ac:dyDescent="0.2"/>
    <row r="45" s="99" customFormat="1" ht="15" customHeight="1" x14ac:dyDescent="0.2"/>
    <row r="46" s="99" customFormat="1" ht="15" customHeight="1" x14ac:dyDescent="0.2"/>
    <row r="47" s="99" customFormat="1" ht="15" customHeight="1" x14ac:dyDescent="0.2"/>
    <row r="48" s="99" customFormat="1" ht="15" customHeight="1" x14ac:dyDescent="0.2"/>
    <row r="49" s="99" customFormat="1" ht="15" customHeight="1" x14ac:dyDescent="0.2"/>
    <row r="50" s="99" customFormat="1" ht="15" customHeight="1" x14ac:dyDescent="0.2"/>
    <row r="51" s="99" customFormat="1" ht="15" customHeight="1" x14ac:dyDescent="0.2"/>
    <row r="52" s="99" customFormat="1" ht="15" customHeight="1" x14ac:dyDescent="0.2"/>
    <row r="53" s="99" customFormat="1" ht="15" customHeight="1" x14ac:dyDescent="0.2"/>
    <row r="54" s="99" customFormat="1" ht="15" customHeight="1" x14ac:dyDescent="0.2"/>
    <row r="55" s="99" customFormat="1" ht="15" customHeight="1" x14ac:dyDescent="0.2"/>
    <row r="56" s="99" customFormat="1" ht="15" customHeight="1" x14ac:dyDescent="0.2"/>
    <row r="57" s="99" customFormat="1" ht="15" customHeight="1" x14ac:dyDescent="0.2"/>
    <row r="58" s="99" customFormat="1" ht="15" customHeight="1" x14ac:dyDescent="0.2"/>
    <row r="59" s="99" customFormat="1" ht="15" customHeight="1" x14ac:dyDescent="0.2"/>
    <row r="60" s="99" customFormat="1" ht="15" customHeight="1" x14ac:dyDescent="0.2"/>
    <row r="61" s="99" customFormat="1" ht="15" customHeight="1" x14ac:dyDescent="0.2"/>
    <row r="62" s="99" customFormat="1" ht="15" customHeight="1" x14ac:dyDescent="0.2"/>
    <row r="63" s="99" customFormat="1" ht="15" customHeight="1" x14ac:dyDescent="0.2"/>
    <row r="64" s="99" customFormat="1" ht="15" customHeight="1" x14ac:dyDescent="0.2"/>
    <row r="65" s="99" customFormat="1" ht="15" customHeight="1" x14ac:dyDescent="0.2"/>
    <row r="66" s="99" customFormat="1" ht="15" customHeight="1" x14ac:dyDescent="0.2"/>
    <row r="67" s="99" customFormat="1" ht="15" customHeight="1" x14ac:dyDescent="0.2"/>
    <row r="68" s="99" customFormat="1" ht="15" customHeight="1" x14ac:dyDescent="0.2"/>
    <row r="69" s="99" customFormat="1" ht="15" customHeight="1" x14ac:dyDescent="0.2"/>
    <row r="70" s="99" customFormat="1" ht="15" customHeight="1" x14ac:dyDescent="0.2"/>
    <row r="71" s="99" customFormat="1" ht="15" customHeight="1" x14ac:dyDescent="0.2"/>
    <row r="72" s="99" customFormat="1" ht="15" customHeight="1" x14ac:dyDescent="0.2"/>
    <row r="73" s="99" customFormat="1" ht="15" customHeight="1" x14ac:dyDescent="0.2"/>
    <row r="74" s="99" customFormat="1" ht="15" customHeight="1" x14ac:dyDescent="0.2"/>
    <row r="75" s="99" customFormat="1" ht="15" customHeight="1" x14ac:dyDescent="0.2"/>
    <row r="76" s="99" customFormat="1" ht="15" customHeight="1" x14ac:dyDescent="0.2"/>
    <row r="77" s="99" customFormat="1" ht="15" customHeight="1" x14ac:dyDescent="0.2"/>
    <row r="78" s="99" customFormat="1" ht="15" customHeight="1" x14ac:dyDescent="0.2"/>
    <row r="79" s="99" customFormat="1" ht="15" customHeight="1" x14ac:dyDescent="0.2"/>
    <row r="80" s="99" customFormat="1" ht="15" customHeight="1" x14ac:dyDescent="0.2"/>
    <row r="81" s="99" customFormat="1" ht="15" customHeight="1" x14ac:dyDescent="0.2"/>
    <row r="82" s="99" customFormat="1" ht="15" customHeight="1" x14ac:dyDescent="0.2"/>
    <row r="83" s="99" customFormat="1" ht="15" customHeight="1" x14ac:dyDescent="0.2"/>
    <row r="84" s="99" customFormat="1" ht="15" customHeight="1" x14ac:dyDescent="0.2"/>
    <row r="85" s="99" customFormat="1" ht="15" customHeight="1" x14ac:dyDescent="0.2"/>
    <row r="86" s="99" customFormat="1" ht="15" customHeight="1" x14ac:dyDescent="0.2"/>
    <row r="87" s="99" customFormat="1" ht="15" customHeight="1" x14ac:dyDescent="0.2"/>
    <row r="88" s="99" customFormat="1" ht="15" customHeight="1" x14ac:dyDescent="0.2"/>
    <row r="89" s="99" customFormat="1" ht="15" customHeight="1" x14ac:dyDescent="0.2"/>
    <row r="90" s="99" customFormat="1" ht="15" customHeight="1" x14ac:dyDescent="0.2"/>
    <row r="91" s="99" customFormat="1" ht="15" customHeight="1" x14ac:dyDescent="0.2"/>
    <row r="92" s="99" customFormat="1" ht="15" customHeight="1" x14ac:dyDescent="0.2"/>
    <row r="93" s="99" customFormat="1" ht="15" customHeight="1" x14ac:dyDescent="0.2"/>
    <row r="94" s="99" customFormat="1" ht="15" customHeight="1" x14ac:dyDescent="0.2"/>
    <row r="95" s="99" customFormat="1" ht="15" customHeight="1" x14ac:dyDescent="0.2"/>
    <row r="96" s="99" customFormat="1" ht="15" customHeight="1" x14ac:dyDescent="0.2"/>
    <row r="97" s="99" customFormat="1" ht="15" customHeight="1" x14ac:dyDescent="0.2"/>
    <row r="98" s="99" customFormat="1" ht="15" customHeight="1" x14ac:dyDescent="0.2"/>
    <row r="99" s="99" customFormat="1" ht="15" customHeight="1" x14ac:dyDescent="0.2"/>
    <row r="100" s="99" customFormat="1" ht="15" customHeight="1" x14ac:dyDescent="0.2"/>
    <row r="101" s="99" customFormat="1" ht="15" customHeight="1" x14ac:dyDescent="0.2"/>
    <row r="102" s="99" customFormat="1" ht="15" customHeight="1" x14ac:dyDescent="0.2"/>
    <row r="103" s="99" customFormat="1" ht="15" customHeight="1" x14ac:dyDescent="0.2"/>
    <row r="104" s="99" customFormat="1" ht="15" customHeight="1" x14ac:dyDescent="0.2"/>
    <row r="105" s="99" customFormat="1" ht="15" customHeight="1" x14ac:dyDescent="0.2"/>
    <row r="106" s="99" customFormat="1" ht="15" customHeight="1" x14ac:dyDescent="0.2"/>
    <row r="107" s="99" customFormat="1" ht="15" customHeight="1" x14ac:dyDescent="0.2"/>
    <row r="108" s="99" customFormat="1" ht="15" customHeight="1" x14ac:dyDescent="0.2"/>
    <row r="109" s="99" customFormat="1" ht="15" customHeight="1" x14ac:dyDescent="0.2"/>
    <row r="110" s="99" customFormat="1" ht="15" customHeight="1" x14ac:dyDescent="0.2"/>
    <row r="111" s="99" customFormat="1" ht="15" customHeight="1" x14ac:dyDescent="0.2"/>
    <row r="112" s="99" customFormat="1" ht="15" customHeight="1" x14ac:dyDescent="0.2"/>
    <row r="113" s="99" customFormat="1" ht="15" customHeight="1" x14ac:dyDescent="0.2"/>
    <row r="114" s="99" customFormat="1" ht="15" customHeight="1" x14ac:dyDescent="0.2"/>
    <row r="115" s="99" customFormat="1" ht="15" customHeight="1" x14ac:dyDescent="0.2"/>
    <row r="116" s="99" customFormat="1" ht="15" customHeight="1" x14ac:dyDescent="0.2"/>
    <row r="117" s="99" customFormat="1" ht="15" customHeight="1" x14ac:dyDescent="0.2"/>
  </sheetData>
  <customSheetViews>
    <customSheetView guid="{B7440494-8EA9-4463-9947-E5D20E74049D}" showGridLines="0">
      <pane xSplit="1" ySplit="9" topLeftCell="AF11" activePane="bottomRight" state="frozen"/>
      <selection pane="bottomRight" activeCell="AO6" sqref="AO6"/>
      <colBreaks count="4" manualBreakCount="4">
        <brk id="9" min="1" max="29" man="1"/>
        <brk id="17" min="1" max="29" man="1"/>
        <brk id="25" min="1" max="29" man="1"/>
        <brk id="33" min="1" max="29" man="1"/>
      </colBreaks>
      <pageMargins left="0" right="0" top="0.78740157480314965" bottom="0" header="0" footer="0"/>
      <printOptions horizontalCentered="1"/>
      <pageSetup paperSize="9" orientation="landscape" horizontalDpi="1200" verticalDpi="1200" r:id="rId1"/>
      <headerFooter alignWithMargins="0">
        <oddHeader>&amp;R&amp;P/&amp;N</oddHeader>
      </headerFooter>
    </customSheetView>
    <customSheetView guid="{6D89F6EF-F5AD-478F-979A-5AF1BC78EF91}" showGridLines="0">
      <pane xSplit="2" ySplit="10" topLeftCell="C11" activePane="bottomRight" state="frozen"/>
      <selection pane="bottomRight" activeCell="C11" sqref="C11"/>
      <colBreaks count="3" manualBreakCount="3">
        <brk id="9" max="32" man="1"/>
        <brk id="25" max="32" man="1"/>
        <brk id="42" max="32" man="1"/>
      </colBreaks>
      <pageMargins left="0" right="0" top="1.1811023622047245" bottom="0" header="0" footer="0"/>
      <printOptions horizontalCentered="1" verticalCentered="1"/>
      <pageSetup paperSize="9" orientation="landscape" horizontalDpi="1200" verticalDpi="1200" r:id="rId2"/>
      <headerFooter alignWithMargins="0"/>
    </customSheetView>
    <customSheetView guid="{A9134056-6B1C-4A42-AFE9-9712EF3EF3D4}" showPageBreaks="1" showGridLines="0" printArea="1">
      <pane xSplit="2" ySplit="10" topLeftCell="C11" activePane="bottomRight" state="frozen"/>
      <selection pane="bottomRight" activeCell="C11" sqref="C11"/>
      <colBreaks count="3" manualBreakCount="3">
        <brk id="9" max="32" man="1"/>
        <brk id="25" max="32" man="1"/>
        <brk id="42" max="32" man="1"/>
      </colBreaks>
      <pageMargins left="0" right="0" top="1.1811023622047245" bottom="0" header="0" footer="0"/>
      <printOptions horizontalCentered="1" verticalCentered="1"/>
      <pageSetup paperSize="9" orientation="landscape" horizontalDpi="1200" verticalDpi="1200" r:id="rId3"/>
      <headerFooter alignWithMargins="0"/>
    </customSheetView>
  </customSheetViews>
  <hyperlinks>
    <hyperlink ref="AS6" location="Índex!E9" display="Índex"/>
  </hyperlinks>
  <printOptions horizontalCentered="1"/>
  <pageMargins left="0" right="0" top="0.39370078740157483" bottom="0" header="0" footer="0"/>
  <pageSetup paperSize="9" scale="94" orientation="landscape" horizontalDpi="1200" verticalDpi="1200" r:id="rId4"/>
  <headerFooter alignWithMargins="0">
    <oddHeader>&amp;R&amp;P/&amp;N</oddHeader>
  </headerFooter>
  <colBreaks count="5" manualBreakCount="5">
    <brk id="9" min="1" max="28" man="1"/>
    <brk id="17" min="1" max="28" man="1"/>
    <brk id="25" min="1" max="28" man="1"/>
    <brk id="33" min="1" max="28" man="1"/>
    <brk id="41" min="1" max="28" man="1"/>
  </colBreaks>
  <drawing r:id="rId5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8"/>
  <dimension ref="A1:DQ108"/>
  <sheetViews>
    <sheetView showGridLines="0" zoomScaleNormal="100" workbookViewId="0">
      <pane xSplit="1" ySplit="8" topLeftCell="AF9" activePane="bottomRight" state="frozen"/>
      <selection activeCell="E9" sqref="E9"/>
      <selection pane="topRight" activeCell="E9" sqref="E9"/>
      <selection pane="bottomLeft" activeCell="E9" sqref="E9"/>
      <selection pane="bottomRight" activeCell="E9" sqref="E9"/>
    </sheetView>
  </sheetViews>
  <sheetFormatPr defaultColWidth="10.7109375" defaultRowHeight="15" customHeight="1" x14ac:dyDescent="0.2"/>
  <cols>
    <col min="1" max="1" width="34.7109375" style="1" customWidth="1"/>
    <col min="2" max="16384" width="10.7109375" style="1"/>
  </cols>
  <sheetData>
    <row r="1" spans="1:121" s="25" customFormat="1" ht="15" customHeight="1" x14ac:dyDescent="0.2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2"/>
      <c r="AW1" s="62"/>
      <c r="AX1" s="62"/>
      <c r="AY1" s="62"/>
      <c r="AZ1" s="62"/>
      <c r="BA1" s="62"/>
      <c r="BB1" s="62"/>
      <c r="BC1" s="62"/>
      <c r="BD1" s="62"/>
      <c r="BE1" s="62"/>
      <c r="BF1" s="62"/>
      <c r="BG1" s="62"/>
      <c r="BH1" s="62"/>
      <c r="BI1" s="62"/>
      <c r="BJ1" s="56"/>
      <c r="BK1" s="56"/>
      <c r="BL1" s="56"/>
      <c r="BM1" s="56"/>
      <c r="BN1" s="56"/>
      <c r="BO1" s="56"/>
      <c r="BP1" s="56"/>
      <c r="BQ1" s="56"/>
      <c r="BR1" s="56"/>
      <c r="BS1" s="56"/>
      <c r="BT1" s="56"/>
      <c r="BU1" s="56"/>
    </row>
    <row r="2" spans="1:121" s="25" customFormat="1" ht="15" customHeight="1" x14ac:dyDescent="0.25">
      <c r="A2" s="56"/>
      <c r="B2" s="199"/>
      <c r="C2" s="56"/>
      <c r="D2" s="56"/>
      <c r="E2" s="216"/>
      <c r="F2" s="216"/>
      <c r="G2" s="216"/>
      <c r="H2" s="56"/>
      <c r="I2" s="56"/>
      <c r="J2" s="56"/>
      <c r="K2" s="21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  <c r="BM2" s="56"/>
      <c r="BN2" s="56"/>
      <c r="BO2" s="56"/>
      <c r="BP2" s="56"/>
      <c r="BQ2" s="56"/>
      <c r="BR2" s="56"/>
      <c r="BS2" s="56"/>
      <c r="BT2" s="56"/>
      <c r="BU2" s="56"/>
    </row>
    <row r="3" spans="1:121" s="25" customFormat="1" ht="15" customHeight="1" x14ac:dyDescent="0.25">
      <c r="A3" s="57"/>
      <c r="B3" s="57"/>
      <c r="C3" s="61"/>
      <c r="D3" s="57"/>
      <c r="E3" s="217"/>
      <c r="F3" s="217"/>
      <c r="G3" s="217"/>
      <c r="H3" s="57"/>
      <c r="I3" s="57"/>
      <c r="J3" s="57"/>
      <c r="K3" s="21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7"/>
      <c r="BT3" s="57"/>
      <c r="BU3" s="57"/>
    </row>
    <row r="4" spans="1:121" s="25" customFormat="1" ht="15" customHeight="1" x14ac:dyDescent="0.2">
      <c r="A4" s="58"/>
      <c r="B4" s="58"/>
      <c r="C4" s="58"/>
      <c r="D4" s="58"/>
      <c r="E4" s="218"/>
      <c r="F4" s="218"/>
      <c r="G4" s="218"/>
      <c r="H4" s="58"/>
      <c r="I4" s="58"/>
      <c r="J4" s="58"/>
      <c r="K4" s="21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  <c r="CG4" s="198"/>
      <c r="CH4" s="198"/>
      <c r="CI4" s="198"/>
      <c r="CJ4" s="198"/>
      <c r="CK4" s="198"/>
      <c r="CL4" s="198"/>
      <c r="CM4" s="198"/>
      <c r="CN4" s="198"/>
      <c r="CO4" s="198"/>
    </row>
    <row r="5" spans="1:121" s="25" customFormat="1" ht="19.5" thickBot="1" x14ac:dyDescent="0.35">
      <c r="A5" s="190" t="s">
        <v>513</v>
      </c>
      <c r="B5" s="61"/>
      <c r="C5" s="59"/>
      <c r="D5" s="61"/>
      <c r="E5" s="59"/>
      <c r="F5" s="114"/>
      <c r="G5" s="59"/>
      <c r="H5" s="112"/>
      <c r="I5" s="59"/>
      <c r="J5" s="59"/>
      <c r="K5" s="59"/>
      <c r="L5" s="59"/>
      <c r="M5" s="59"/>
      <c r="N5" s="59"/>
      <c r="O5" s="59"/>
      <c r="P5" s="59"/>
      <c r="Q5" s="59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59"/>
      <c r="BR5" s="59"/>
      <c r="BS5" s="59"/>
      <c r="BT5" s="59"/>
      <c r="BU5" s="59"/>
      <c r="BW5" s="114"/>
      <c r="CA5" s="114"/>
      <c r="CC5" s="134"/>
      <c r="CF5" s="65"/>
      <c r="CG5" s="194"/>
      <c r="CH5" s="194"/>
      <c r="CI5" s="194"/>
      <c r="CJ5" s="225"/>
      <c r="CK5" s="194"/>
      <c r="CL5" s="194"/>
      <c r="CM5" s="194"/>
      <c r="CN5" s="194"/>
      <c r="CO5" s="198"/>
    </row>
    <row r="6" spans="1:121" s="236" customFormat="1" ht="15" customHeight="1" thickTop="1" x14ac:dyDescent="0.2">
      <c r="A6" s="234"/>
      <c r="B6" s="234"/>
      <c r="C6" s="235"/>
      <c r="D6" s="235"/>
      <c r="E6" s="235"/>
      <c r="AL6" s="133"/>
      <c r="AN6" s="133"/>
      <c r="AO6" s="133"/>
      <c r="AP6" s="400"/>
      <c r="AQ6" s="400"/>
      <c r="AR6" s="400"/>
      <c r="AS6" s="400" t="s">
        <v>662</v>
      </c>
    </row>
    <row r="7" spans="1:121" s="183" customFormat="1" ht="15" customHeight="1" x14ac:dyDescent="0.2">
      <c r="A7" s="182"/>
      <c r="B7" s="195" t="s">
        <v>35</v>
      </c>
      <c r="C7" s="195" t="s">
        <v>36</v>
      </c>
      <c r="D7" s="195" t="s">
        <v>321</v>
      </c>
      <c r="E7" s="195" t="s">
        <v>331</v>
      </c>
      <c r="F7" s="195" t="s">
        <v>37</v>
      </c>
      <c r="G7" s="195" t="s">
        <v>38</v>
      </c>
      <c r="H7" s="195" t="s">
        <v>322</v>
      </c>
      <c r="I7" s="195" t="s">
        <v>332</v>
      </c>
      <c r="J7" s="195" t="s">
        <v>39</v>
      </c>
      <c r="K7" s="195" t="s">
        <v>40</v>
      </c>
      <c r="L7" s="195" t="s">
        <v>323</v>
      </c>
      <c r="M7" s="195" t="s">
        <v>333</v>
      </c>
      <c r="N7" s="195" t="s">
        <v>41</v>
      </c>
      <c r="O7" s="195" t="s">
        <v>42</v>
      </c>
      <c r="P7" s="195" t="s">
        <v>324</v>
      </c>
      <c r="Q7" s="195" t="s">
        <v>334</v>
      </c>
      <c r="R7" s="195" t="s">
        <v>43</v>
      </c>
      <c r="S7" s="195" t="s">
        <v>44</v>
      </c>
      <c r="T7" s="195" t="s">
        <v>325</v>
      </c>
      <c r="U7" s="195" t="s">
        <v>335</v>
      </c>
      <c r="V7" s="195" t="s">
        <v>45</v>
      </c>
      <c r="W7" s="195" t="s">
        <v>46</v>
      </c>
      <c r="X7" s="195" t="s">
        <v>326</v>
      </c>
      <c r="Y7" s="195" t="s">
        <v>336</v>
      </c>
      <c r="Z7" s="195" t="s">
        <v>47</v>
      </c>
      <c r="AA7" s="195" t="s">
        <v>48</v>
      </c>
      <c r="AB7" s="195" t="s">
        <v>327</v>
      </c>
      <c r="AC7" s="195" t="s">
        <v>337</v>
      </c>
      <c r="AD7" s="195" t="s">
        <v>49</v>
      </c>
      <c r="AE7" s="195" t="s">
        <v>50</v>
      </c>
      <c r="AF7" s="195" t="s">
        <v>328</v>
      </c>
      <c r="AG7" s="195" t="s">
        <v>338</v>
      </c>
      <c r="AH7" s="195" t="s">
        <v>51</v>
      </c>
      <c r="AI7" s="195" t="s">
        <v>52</v>
      </c>
      <c r="AJ7" s="195" t="s">
        <v>329</v>
      </c>
      <c r="AK7" s="195" t="s">
        <v>339</v>
      </c>
      <c r="AL7" s="195" t="s">
        <v>53</v>
      </c>
      <c r="AM7" s="195" t="s">
        <v>54</v>
      </c>
      <c r="AN7" s="195" t="s">
        <v>330</v>
      </c>
      <c r="AO7" s="410" t="s">
        <v>340</v>
      </c>
      <c r="AP7" s="410" t="s">
        <v>71</v>
      </c>
      <c r="AQ7" s="591" t="s">
        <v>374</v>
      </c>
      <c r="AR7" s="664" t="s">
        <v>376</v>
      </c>
      <c r="AS7" s="664" t="s">
        <v>399</v>
      </c>
      <c r="CC7" s="243"/>
    </row>
    <row r="8" spans="1:121" s="178" customFormat="1" ht="9.9499999999999993" customHeight="1" x14ac:dyDescent="0.2">
      <c r="A8" s="233"/>
      <c r="B8" s="233"/>
      <c r="C8" s="233"/>
      <c r="D8" s="233"/>
      <c r="E8" s="233"/>
      <c r="F8" s="233"/>
      <c r="G8" s="233"/>
      <c r="H8" s="233"/>
      <c r="I8" s="233"/>
      <c r="J8" s="233"/>
      <c r="K8" s="233"/>
      <c r="L8" s="233"/>
      <c r="M8" s="233"/>
      <c r="N8" s="233"/>
      <c r="O8" s="233"/>
      <c r="P8" s="233"/>
      <c r="Q8" s="233"/>
      <c r="R8" s="233"/>
      <c r="S8" s="233"/>
      <c r="T8" s="233"/>
      <c r="U8" s="233"/>
      <c r="V8" s="233"/>
      <c r="W8" s="233"/>
      <c r="X8" s="233"/>
      <c r="Y8" s="233"/>
      <c r="Z8" s="233"/>
      <c r="AA8" s="233"/>
      <c r="AB8" s="233"/>
      <c r="AC8" s="233"/>
      <c r="AD8" s="233"/>
      <c r="AE8" s="233"/>
      <c r="AF8" s="233"/>
      <c r="AG8" s="233"/>
      <c r="AH8" s="233"/>
      <c r="AI8" s="233"/>
      <c r="AJ8" s="233"/>
      <c r="AK8" s="233"/>
      <c r="AL8" s="233"/>
      <c r="AM8" s="233"/>
      <c r="AN8" s="233"/>
      <c r="AO8" s="233"/>
      <c r="AP8" s="233"/>
      <c r="AQ8" s="233"/>
      <c r="AR8" s="233"/>
      <c r="AS8" s="233"/>
      <c r="AT8" s="191"/>
      <c r="AU8" s="191"/>
      <c r="AV8" s="191"/>
      <c r="AW8" s="191"/>
      <c r="AX8" s="191"/>
      <c r="AY8" s="191"/>
      <c r="AZ8" s="191"/>
      <c r="BA8" s="191"/>
      <c r="BB8" s="191"/>
      <c r="BC8" s="191"/>
      <c r="BD8" s="191"/>
      <c r="BE8" s="191"/>
      <c r="BF8" s="191"/>
      <c r="BG8" s="191"/>
      <c r="BH8" s="191"/>
      <c r="BI8" s="191"/>
      <c r="BJ8" s="191"/>
      <c r="BK8" s="191"/>
      <c r="BL8" s="191"/>
      <c r="BM8" s="191"/>
      <c r="BN8" s="191"/>
      <c r="BO8" s="191"/>
      <c r="BP8" s="191"/>
      <c r="BQ8" s="191"/>
      <c r="BR8" s="191"/>
      <c r="BS8" s="191"/>
      <c r="BT8" s="191"/>
      <c r="BU8" s="191"/>
      <c r="BV8" s="191"/>
      <c r="BW8" s="191"/>
      <c r="BX8" s="191"/>
      <c r="BY8" s="191"/>
      <c r="BZ8" s="191"/>
      <c r="CA8" s="191"/>
      <c r="CB8" s="191"/>
      <c r="CC8" s="191"/>
      <c r="CD8" s="191"/>
    </row>
    <row r="9" spans="1:121" s="178" customFormat="1" ht="5.0999999999999996" customHeight="1" x14ac:dyDescent="0.2">
      <c r="A9" s="203"/>
      <c r="B9" s="203"/>
      <c r="C9" s="203"/>
      <c r="D9" s="203"/>
      <c r="E9" s="203"/>
      <c r="F9" s="203"/>
      <c r="G9" s="203"/>
      <c r="H9" s="203"/>
      <c r="I9" s="203"/>
      <c r="J9" s="203"/>
      <c r="K9" s="203"/>
      <c r="L9" s="203"/>
      <c r="M9" s="203"/>
      <c r="N9" s="203"/>
      <c r="O9" s="203"/>
      <c r="P9" s="203"/>
      <c r="Q9" s="203"/>
      <c r="R9" s="203"/>
      <c r="S9" s="203"/>
      <c r="T9" s="203"/>
      <c r="U9" s="203"/>
      <c r="V9" s="203"/>
      <c r="W9" s="203"/>
      <c r="X9" s="203"/>
      <c r="Y9" s="203"/>
      <c r="Z9" s="203"/>
      <c r="AA9" s="203"/>
      <c r="AB9" s="203"/>
      <c r="AC9" s="203"/>
      <c r="AD9" s="203"/>
      <c r="AE9" s="203"/>
      <c r="AF9" s="203"/>
      <c r="AG9" s="203"/>
      <c r="AH9" s="203"/>
      <c r="AI9" s="203"/>
      <c r="AJ9" s="203"/>
      <c r="AK9" s="203"/>
      <c r="AL9" s="203"/>
      <c r="AM9" s="203"/>
      <c r="AN9" s="203"/>
      <c r="AO9" s="203"/>
      <c r="AP9" s="203"/>
      <c r="AQ9" s="203"/>
      <c r="AR9" s="203"/>
      <c r="AS9" s="203"/>
      <c r="AT9" s="203"/>
      <c r="AU9" s="203"/>
      <c r="AV9" s="203"/>
      <c r="AW9" s="203"/>
      <c r="AX9" s="203"/>
      <c r="AY9" s="203"/>
      <c r="AZ9" s="203"/>
      <c r="BA9" s="203"/>
      <c r="BB9" s="203"/>
      <c r="BC9" s="203"/>
      <c r="BD9" s="203"/>
      <c r="BE9" s="203"/>
      <c r="BF9" s="203"/>
      <c r="BG9" s="203"/>
      <c r="BH9" s="203"/>
      <c r="BI9" s="203"/>
      <c r="BJ9" s="203"/>
      <c r="BK9" s="203"/>
      <c r="BL9" s="203"/>
      <c r="BM9" s="203"/>
      <c r="BN9" s="203"/>
      <c r="BO9" s="203"/>
      <c r="BP9" s="203"/>
      <c r="BQ9" s="203"/>
      <c r="BR9" s="203"/>
      <c r="BS9" s="203"/>
      <c r="BT9" s="203"/>
      <c r="BU9" s="203"/>
      <c r="BV9" s="203"/>
      <c r="BW9" s="203"/>
      <c r="BX9" s="203"/>
      <c r="BY9" s="203"/>
      <c r="BZ9" s="203"/>
      <c r="CA9" s="203"/>
      <c r="CB9" s="203"/>
      <c r="CC9" s="203"/>
      <c r="CD9" s="203"/>
    </row>
    <row r="10" spans="1:121" s="228" customFormat="1" ht="12" x14ac:dyDescent="0.2">
      <c r="A10" s="226" t="s">
        <v>510</v>
      </c>
      <c r="B10" s="227">
        <v>5649</v>
      </c>
      <c r="C10" s="227">
        <v>6047</v>
      </c>
      <c r="D10" s="227">
        <v>6465</v>
      </c>
      <c r="E10" s="227">
        <v>6311</v>
      </c>
      <c r="F10" s="227">
        <v>6609</v>
      </c>
      <c r="G10" s="227">
        <v>7119</v>
      </c>
      <c r="H10" s="214">
        <v>7129</v>
      </c>
      <c r="I10" s="214">
        <v>7053</v>
      </c>
      <c r="J10" s="214">
        <v>7408</v>
      </c>
      <c r="K10" s="214">
        <v>8132</v>
      </c>
      <c r="L10" s="214">
        <v>8604</v>
      </c>
      <c r="M10" s="214">
        <v>7066</v>
      </c>
      <c r="N10" s="214">
        <v>7903</v>
      </c>
      <c r="O10" s="214">
        <v>8292</v>
      </c>
      <c r="P10" s="214">
        <v>8660</v>
      </c>
      <c r="Q10" s="214">
        <v>9234</v>
      </c>
      <c r="R10" s="214">
        <v>9714</v>
      </c>
      <c r="S10" s="214">
        <v>13274</v>
      </c>
      <c r="T10" s="214">
        <v>11642</v>
      </c>
      <c r="U10" s="214">
        <v>12463</v>
      </c>
      <c r="V10" s="214">
        <v>13157</v>
      </c>
      <c r="W10" s="214">
        <v>13610</v>
      </c>
      <c r="X10" s="214">
        <v>14061</v>
      </c>
      <c r="Y10" s="214">
        <v>15072</v>
      </c>
      <c r="Z10" s="214">
        <v>15952</v>
      </c>
      <c r="AA10" s="214">
        <v>16453</v>
      </c>
      <c r="AB10" s="214">
        <v>16785</v>
      </c>
      <c r="AC10" s="214">
        <v>7729</v>
      </c>
      <c r="AD10" s="214">
        <v>8087</v>
      </c>
      <c r="AE10" s="214">
        <v>8345</v>
      </c>
      <c r="AF10" s="214">
        <v>7371</v>
      </c>
      <c r="AG10" s="214">
        <v>7572</v>
      </c>
      <c r="AH10" s="214">
        <v>8217</v>
      </c>
      <c r="AI10" s="214">
        <v>8472</v>
      </c>
      <c r="AJ10" s="214">
        <v>8573</v>
      </c>
      <c r="AK10" s="214">
        <v>8536</v>
      </c>
      <c r="AL10" s="214">
        <v>8708</v>
      </c>
      <c r="AM10" s="214">
        <v>9400</v>
      </c>
      <c r="AN10" s="214">
        <v>9193</v>
      </c>
      <c r="AO10" s="214">
        <v>8681</v>
      </c>
      <c r="AP10" s="214">
        <v>8511</v>
      </c>
      <c r="AQ10" s="214">
        <v>8666</v>
      </c>
      <c r="AR10" s="214">
        <v>8243</v>
      </c>
      <c r="AS10" s="208">
        <v>8096</v>
      </c>
    </row>
    <row r="11" spans="1:121" s="228" customFormat="1" ht="15" customHeight="1" x14ac:dyDescent="0.2">
      <c r="A11" s="226" t="s">
        <v>511</v>
      </c>
      <c r="B11" s="227">
        <v>1241</v>
      </c>
      <c r="C11" s="227">
        <v>1245</v>
      </c>
      <c r="D11" s="227">
        <v>1228</v>
      </c>
      <c r="E11" s="227">
        <v>1492</v>
      </c>
      <c r="F11" s="227">
        <v>1560</v>
      </c>
      <c r="G11" s="227">
        <v>1554</v>
      </c>
      <c r="H11" s="214">
        <v>1567</v>
      </c>
      <c r="I11" s="214">
        <v>1553</v>
      </c>
      <c r="J11" s="214">
        <v>1555</v>
      </c>
      <c r="K11" s="214">
        <v>1562</v>
      </c>
      <c r="L11" s="214">
        <v>1555</v>
      </c>
      <c r="M11" s="214">
        <v>1596</v>
      </c>
      <c r="N11" s="214">
        <v>1599</v>
      </c>
      <c r="O11" s="214">
        <v>1618</v>
      </c>
      <c r="P11" s="214">
        <v>1576</v>
      </c>
      <c r="Q11" s="214">
        <v>1581</v>
      </c>
      <c r="R11" s="214">
        <v>1631</v>
      </c>
      <c r="S11" s="214">
        <v>1728</v>
      </c>
      <c r="T11" s="214">
        <v>2255</v>
      </c>
      <c r="U11" s="214">
        <v>2316</v>
      </c>
      <c r="V11" s="214">
        <v>2363</v>
      </c>
      <c r="W11" s="214">
        <v>2427</v>
      </c>
      <c r="X11" s="214">
        <v>2460</v>
      </c>
      <c r="Y11" s="214">
        <v>2496</v>
      </c>
      <c r="Z11" s="214">
        <v>2494</v>
      </c>
      <c r="AA11" s="214">
        <v>2472</v>
      </c>
      <c r="AB11" s="214">
        <v>2508</v>
      </c>
      <c r="AC11" s="214">
        <v>2537</v>
      </c>
      <c r="AD11" s="214">
        <v>2508</v>
      </c>
      <c r="AE11" s="214">
        <v>2472</v>
      </c>
      <c r="AF11" s="214">
        <v>2860</v>
      </c>
      <c r="AG11" s="214">
        <v>2737</v>
      </c>
      <c r="AH11" s="214">
        <v>2691</v>
      </c>
      <c r="AI11" s="214">
        <v>2738</v>
      </c>
      <c r="AJ11" s="214">
        <v>3017</v>
      </c>
      <c r="AK11" s="214">
        <v>3083</v>
      </c>
      <c r="AL11" s="214">
        <v>3109</v>
      </c>
      <c r="AM11" s="214">
        <v>3148</v>
      </c>
      <c r="AN11" s="214">
        <v>4988</v>
      </c>
      <c r="AO11" s="214">
        <v>5142</v>
      </c>
      <c r="AP11" s="214">
        <v>5273</v>
      </c>
      <c r="AQ11" s="214">
        <v>5475</v>
      </c>
      <c r="AR11" s="214">
        <v>5494</v>
      </c>
      <c r="AS11" s="208">
        <v>5646</v>
      </c>
    </row>
    <row r="12" spans="1:121" s="228" customFormat="1" ht="15" customHeight="1" x14ac:dyDescent="0.2">
      <c r="A12" s="226" t="s">
        <v>512</v>
      </c>
      <c r="B12" s="227">
        <v>863</v>
      </c>
      <c r="C12" s="227">
        <v>872</v>
      </c>
      <c r="D12" s="227">
        <v>1062</v>
      </c>
      <c r="E12" s="227">
        <v>1414</v>
      </c>
      <c r="F12" s="227">
        <v>1509</v>
      </c>
      <c r="G12" s="227">
        <v>1514</v>
      </c>
      <c r="H12" s="214">
        <v>1476</v>
      </c>
      <c r="I12" s="214">
        <v>1524</v>
      </c>
      <c r="J12" s="214">
        <v>1650</v>
      </c>
      <c r="K12" s="214">
        <v>1850</v>
      </c>
      <c r="L12" s="214">
        <v>2186</v>
      </c>
      <c r="M12" s="214">
        <v>2343</v>
      </c>
      <c r="N12" s="214">
        <v>2386</v>
      </c>
      <c r="O12" s="214">
        <v>2446</v>
      </c>
      <c r="P12" s="214">
        <v>2529</v>
      </c>
      <c r="Q12" s="214">
        <v>2664</v>
      </c>
      <c r="R12" s="214">
        <v>2731</v>
      </c>
      <c r="S12" s="214">
        <v>2901</v>
      </c>
      <c r="T12" s="214">
        <v>3124</v>
      </c>
      <c r="U12" s="214">
        <v>3345</v>
      </c>
      <c r="V12" s="214">
        <v>3424</v>
      </c>
      <c r="W12" s="214">
        <v>3499</v>
      </c>
      <c r="X12" s="214">
        <v>3610</v>
      </c>
      <c r="Y12" s="214">
        <v>3722</v>
      </c>
      <c r="Z12" s="214">
        <v>3777</v>
      </c>
      <c r="AA12" s="214">
        <v>3765</v>
      </c>
      <c r="AB12" s="214">
        <v>3856</v>
      </c>
      <c r="AC12" s="214">
        <v>3824</v>
      </c>
      <c r="AD12" s="214">
        <v>3808</v>
      </c>
      <c r="AE12" s="214">
        <v>3822</v>
      </c>
      <c r="AF12" s="214">
        <v>4000</v>
      </c>
      <c r="AG12" s="214">
        <v>3942</v>
      </c>
      <c r="AH12" s="214">
        <v>4054</v>
      </c>
      <c r="AI12" s="214">
        <v>4101</v>
      </c>
      <c r="AJ12" s="214">
        <v>4139</v>
      </c>
      <c r="AK12" s="214">
        <v>4215</v>
      </c>
      <c r="AL12" s="214">
        <v>4211</v>
      </c>
      <c r="AM12" s="214">
        <v>4267</v>
      </c>
      <c r="AN12" s="214">
        <v>4838</v>
      </c>
      <c r="AO12" s="214">
        <v>5015</v>
      </c>
      <c r="AP12" s="214">
        <v>5121</v>
      </c>
      <c r="AQ12" s="214">
        <v>5089</v>
      </c>
      <c r="AR12" s="214">
        <v>5198</v>
      </c>
      <c r="AS12" s="208">
        <v>5375</v>
      </c>
    </row>
    <row r="13" spans="1:121" s="246" customFormat="1" ht="5.0999999999999996" customHeight="1" x14ac:dyDescent="0.2">
      <c r="A13" s="226"/>
      <c r="B13" s="227"/>
      <c r="C13" s="227"/>
      <c r="D13" s="227"/>
      <c r="E13" s="227"/>
      <c r="F13" s="227"/>
      <c r="G13" s="227"/>
      <c r="H13" s="244"/>
      <c r="I13" s="244"/>
      <c r="J13" s="245"/>
      <c r="K13" s="245"/>
      <c r="L13" s="245"/>
      <c r="M13" s="245"/>
      <c r="N13" s="245"/>
      <c r="O13" s="245"/>
      <c r="P13" s="245"/>
      <c r="Q13" s="245"/>
      <c r="R13" s="245"/>
      <c r="S13" s="245"/>
      <c r="T13" s="245"/>
      <c r="U13" s="245"/>
      <c r="V13" s="245"/>
      <c r="W13" s="245"/>
      <c r="X13" s="245"/>
      <c r="Y13" s="245"/>
      <c r="Z13" s="245"/>
      <c r="AA13" s="245"/>
      <c r="AB13" s="245"/>
      <c r="AC13" s="245"/>
      <c r="AD13" s="245"/>
      <c r="AE13" s="245"/>
      <c r="AF13" s="245"/>
      <c r="AG13" s="245"/>
      <c r="AH13" s="245"/>
      <c r="AI13" s="245"/>
      <c r="AJ13" s="245"/>
      <c r="AK13" s="245"/>
      <c r="AL13" s="245"/>
      <c r="AM13" s="245"/>
      <c r="AN13" s="245"/>
      <c r="AO13" s="245"/>
      <c r="AP13" s="556"/>
      <c r="AQ13" s="556"/>
      <c r="AR13" s="556"/>
      <c r="AS13" s="556"/>
    </row>
    <row r="14" spans="1:121" s="178" customFormat="1" ht="15" customHeight="1" thickBot="1" x14ac:dyDescent="0.25">
      <c r="A14" s="175" t="s">
        <v>10</v>
      </c>
      <c r="B14" s="176">
        <f t="shared" ref="B14:AB14" si="0">SUM(B10:B13)</f>
        <v>7753</v>
      </c>
      <c r="C14" s="176">
        <f t="shared" si="0"/>
        <v>8164</v>
      </c>
      <c r="D14" s="176">
        <f t="shared" si="0"/>
        <v>8755</v>
      </c>
      <c r="E14" s="176">
        <f t="shared" si="0"/>
        <v>9217</v>
      </c>
      <c r="F14" s="176">
        <f t="shared" si="0"/>
        <v>9678</v>
      </c>
      <c r="G14" s="176">
        <f t="shared" si="0"/>
        <v>10187</v>
      </c>
      <c r="H14" s="176">
        <f t="shared" si="0"/>
        <v>10172</v>
      </c>
      <c r="I14" s="176">
        <f t="shared" si="0"/>
        <v>10130</v>
      </c>
      <c r="J14" s="176">
        <f t="shared" si="0"/>
        <v>10613</v>
      </c>
      <c r="K14" s="176">
        <f t="shared" si="0"/>
        <v>11544</v>
      </c>
      <c r="L14" s="176">
        <f t="shared" si="0"/>
        <v>12345</v>
      </c>
      <c r="M14" s="176">
        <f t="shared" si="0"/>
        <v>11005</v>
      </c>
      <c r="N14" s="176">
        <f t="shared" si="0"/>
        <v>11888</v>
      </c>
      <c r="O14" s="176">
        <f t="shared" si="0"/>
        <v>12356</v>
      </c>
      <c r="P14" s="176">
        <f t="shared" si="0"/>
        <v>12765</v>
      </c>
      <c r="Q14" s="176">
        <f t="shared" si="0"/>
        <v>13479</v>
      </c>
      <c r="R14" s="176">
        <f t="shared" si="0"/>
        <v>14076</v>
      </c>
      <c r="S14" s="176">
        <f t="shared" si="0"/>
        <v>17903</v>
      </c>
      <c r="T14" s="176">
        <f t="shared" si="0"/>
        <v>17021</v>
      </c>
      <c r="U14" s="176">
        <f t="shared" si="0"/>
        <v>18124</v>
      </c>
      <c r="V14" s="176">
        <f t="shared" si="0"/>
        <v>18944</v>
      </c>
      <c r="W14" s="176">
        <f t="shared" si="0"/>
        <v>19536</v>
      </c>
      <c r="X14" s="176">
        <f t="shared" si="0"/>
        <v>20131</v>
      </c>
      <c r="Y14" s="176">
        <f t="shared" si="0"/>
        <v>21290</v>
      </c>
      <c r="Z14" s="176">
        <f t="shared" si="0"/>
        <v>22223</v>
      </c>
      <c r="AA14" s="176">
        <f t="shared" si="0"/>
        <v>22690</v>
      </c>
      <c r="AB14" s="176">
        <f t="shared" si="0"/>
        <v>23149</v>
      </c>
      <c r="AC14" s="176">
        <f t="shared" ref="AC14:AO14" si="1">SUM(AC10:AC12)</f>
        <v>14090</v>
      </c>
      <c r="AD14" s="176">
        <f t="shared" si="1"/>
        <v>14403</v>
      </c>
      <c r="AE14" s="176">
        <f t="shared" si="1"/>
        <v>14639</v>
      </c>
      <c r="AF14" s="176">
        <f t="shared" si="1"/>
        <v>14231</v>
      </c>
      <c r="AG14" s="176">
        <f t="shared" si="1"/>
        <v>14251</v>
      </c>
      <c r="AH14" s="176">
        <f t="shared" si="1"/>
        <v>14962</v>
      </c>
      <c r="AI14" s="176">
        <f t="shared" si="1"/>
        <v>15311</v>
      </c>
      <c r="AJ14" s="176">
        <f t="shared" si="1"/>
        <v>15729</v>
      </c>
      <c r="AK14" s="176">
        <f t="shared" si="1"/>
        <v>15834</v>
      </c>
      <c r="AL14" s="176">
        <f t="shared" si="1"/>
        <v>16028</v>
      </c>
      <c r="AM14" s="176">
        <f t="shared" si="1"/>
        <v>16815</v>
      </c>
      <c r="AN14" s="176">
        <f t="shared" si="1"/>
        <v>19019</v>
      </c>
      <c r="AO14" s="176">
        <f t="shared" si="1"/>
        <v>18838</v>
      </c>
      <c r="AP14" s="176">
        <f t="shared" ref="AP14:AQ14" si="2">SUM(AP10:AP12)</f>
        <v>18905</v>
      </c>
      <c r="AQ14" s="176">
        <f t="shared" si="2"/>
        <v>19230</v>
      </c>
      <c r="AR14" s="176">
        <f t="shared" ref="AR14:AS14" si="3">SUM(AR10:AR12)</f>
        <v>18935</v>
      </c>
      <c r="AS14" s="176">
        <f t="shared" si="3"/>
        <v>19117</v>
      </c>
      <c r="AT14" s="193"/>
      <c r="AU14" s="193"/>
      <c r="AV14" s="193"/>
      <c r="AW14" s="193"/>
      <c r="AX14" s="193"/>
      <c r="AY14" s="193"/>
      <c r="AZ14" s="193"/>
      <c r="BA14" s="193"/>
      <c r="BB14" s="193"/>
      <c r="BC14" s="193"/>
      <c r="BD14" s="193"/>
      <c r="BE14" s="193"/>
      <c r="BF14" s="193"/>
      <c r="BG14" s="193"/>
      <c r="BH14" s="193"/>
      <c r="BI14" s="193"/>
      <c r="BJ14" s="193"/>
      <c r="BK14" s="193"/>
      <c r="BL14" s="193"/>
      <c r="BM14" s="193"/>
      <c r="BN14" s="193"/>
      <c r="BO14" s="193"/>
      <c r="BP14" s="193"/>
      <c r="BQ14" s="193"/>
      <c r="BR14" s="193"/>
      <c r="BS14" s="193"/>
      <c r="BT14" s="193"/>
      <c r="BU14" s="193"/>
      <c r="BV14" s="193"/>
      <c r="BW14" s="193"/>
      <c r="BX14" s="193"/>
      <c r="BY14" s="193"/>
      <c r="BZ14" s="193"/>
      <c r="CA14" s="193"/>
      <c r="CB14" s="193"/>
      <c r="CC14" s="193"/>
      <c r="CD14" s="193"/>
      <c r="CE14" s="193"/>
      <c r="CF14" s="193"/>
      <c r="CG14" s="193"/>
      <c r="CH14" s="193"/>
      <c r="CI14" s="193"/>
      <c r="CJ14" s="193"/>
      <c r="CK14" s="193"/>
      <c r="CL14" s="193"/>
      <c r="CM14" s="193"/>
      <c r="CN14" s="193"/>
      <c r="CO14" s="193"/>
      <c r="CP14" s="193"/>
      <c r="CQ14" s="193"/>
      <c r="CR14" s="193"/>
      <c r="CS14" s="193"/>
      <c r="CT14" s="193"/>
      <c r="CU14" s="193"/>
      <c r="CV14" s="193"/>
      <c r="CW14" s="193"/>
      <c r="CX14" s="193"/>
      <c r="CY14" s="193"/>
      <c r="CZ14" s="193"/>
      <c r="DA14" s="193"/>
      <c r="DB14" s="193"/>
      <c r="DC14" s="193"/>
      <c r="DD14" s="193"/>
      <c r="DE14" s="193"/>
      <c r="DF14" s="193"/>
      <c r="DG14" s="193"/>
      <c r="DH14" s="193"/>
      <c r="DI14" s="193"/>
      <c r="DJ14" s="193"/>
      <c r="DK14" s="193"/>
      <c r="DL14" s="193"/>
      <c r="DM14" s="193"/>
      <c r="DN14" s="193"/>
      <c r="DO14" s="193"/>
      <c r="DP14" s="193"/>
      <c r="DQ14" s="193"/>
    </row>
    <row r="15" spans="1:121" customFormat="1" ht="15" customHeight="1" thickTop="1" x14ac:dyDescent="0.2"/>
    <row r="16" spans="1:121" customFormat="1" ht="15" customHeight="1" x14ac:dyDescent="0.2"/>
    <row r="17" customFormat="1" ht="15" customHeight="1" x14ac:dyDescent="0.2"/>
    <row r="18" customFormat="1" ht="15" customHeight="1" x14ac:dyDescent="0.2"/>
    <row r="19" customFormat="1" ht="15" customHeight="1" x14ac:dyDescent="0.2"/>
    <row r="20" customFormat="1" ht="15" customHeight="1" x14ac:dyDescent="0.2"/>
    <row r="21" customFormat="1" ht="15" customHeight="1" x14ac:dyDescent="0.2"/>
    <row r="22" customFormat="1" ht="15" customHeight="1" x14ac:dyDescent="0.2"/>
    <row r="23" customFormat="1" ht="15" customHeight="1" x14ac:dyDescent="0.2"/>
    <row r="24" customFormat="1" ht="15" customHeight="1" x14ac:dyDescent="0.2"/>
    <row r="25" customFormat="1" ht="15" customHeight="1" x14ac:dyDescent="0.2"/>
    <row r="26" customFormat="1" ht="15" customHeight="1" x14ac:dyDescent="0.2"/>
    <row r="27" customFormat="1" ht="15" customHeight="1" x14ac:dyDescent="0.2"/>
    <row r="28" customFormat="1" ht="15" customHeight="1" x14ac:dyDescent="0.2"/>
    <row r="29" customFormat="1" ht="15" customHeight="1" x14ac:dyDescent="0.2"/>
    <row r="30" customFormat="1" ht="15" customHeight="1" x14ac:dyDescent="0.2"/>
    <row r="31" customFormat="1" ht="15" customHeight="1" x14ac:dyDescent="0.2"/>
    <row r="32" customFormat="1" ht="15" customHeight="1" x14ac:dyDescent="0.2"/>
    <row r="33" customFormat="1" ht="15" customHeight="1" x14ac:dyDescent="0.2"/>
    <row r="34" customFormat="1" ht="15" customHeight="1" x14ac:dyDescent="0.2"/>
    <row r="35" customFormat="1" ht="15" customHeight="1" x14ac:dyDescent="0.2"/>
    <row r="36" customFormat="1" ht="15" customHeight="1" x14ac:dyDescent="0.2"/>
    <row r="37" customFormat="1" ht="15" customHeight="1" x14ac:dyDescent="0.2"/>
    <row r="38" customFormat="1" ht="15" customHeight="1" x14ac:dyDescent="0.2"/>
    <row r="39" customFormat="1" ht="15" customHeight="1" x14ac:dyDescent="0.2"/>
    <row r="40" customFormat="1" ht="15" customHeight="1" x14ac:dyDescent="0.2"/>
    <row r="41" customFormat="1" ht="15" customHeight="1" x14ac:dyDescent="0.2"/>
    <row r="42" customFormat="1" ht="15" customHeight="1" x14ac:dyDescent="0.2"/>
    <row r="43" customFormat="1" ht="15" customHeight="1" x14ac:dyDescent="0.2"/>
    <row r="44" customFormat="1" ht="15" customHeight="1" x14ac:dyDescent="0.2"/>
    <row r="45" customFormat="1" ht="15" customHeight="1" x14ac:dyDescent="0.2"/>
    <row r="46" customFormat="1" ht="15" customHeight="1" x14ac:dyDescent="0.2"/>
    <row r="47" customFormat="1" ht="15" customHeight="1" x14ac:dyDescent="0.2"/>
    <row r="48" customFormat="1" ht="15" customHeight="1" x14ac:dyDescent="0.2"/>
    <row r="49" customFormat="1" ht="15" customHeight="1" x14ac:dyDescent="0.2"/>
    <row r="50" customFormat="1" ht="15" customHeight="1" x14ac:dyDescent="0.2"/>
    <row r="51" customFormat="1" ht="15" customHeight="1" x14ac:dyDescent="0.2"/>
    <row r="52" customFormat="1" ht="15" customHeight="1" x14ac:dyDescent="0.2"/>
    <row r="53" customFormat="1" ht="15" customHeight="1" x14ac:dyDescent="0.2"/>
    <row r="54" customFormat="1" ht="15" customHeight="1" x14ac:dyDescent="0.2"/>
    <row r="55" customFormat="1" ht="15" customHeight="1" x14ac:dyDescent="0.2"/>
    <row r="56" customFormat="1" ht="15" customHeight="1" x14ac:dyDescent="0.2"/>
    <row r="57" customFormat="1" ht="15" customHeight="1" x14ac:dyDescent="0.2"/>
    <row r="58" customFormat="1" ht="15" customHeight="1" x14ac:dyDescent="0.2"/>
    <row r="59" customFormat="1" ht="15" customHeight="1" x14ac:dyDescent="0.2"/>
    <row r="60" customFormat="1" ht="15" customHeight="1" x14ac:dyDescent="0.2"/>
    <row r="61" customFormat="1" ht="15" customHeight="1" x14ac:dyDescent="0.2"/>
    <row r="62" customFormat="1" ht="15" customHeight="1" x14ac:dyDescent="0.2"/>
    <row r="63" customFormat="1" ht="15" customHeight="1" x14ac:dyDescent="0.2"/>
    <row r="64" customFormat="1" ht="15" customHeight="1" x14ac:dyDescent="0.2"/>
    <row r="65" customFormat="1" ht="15" customHeight="1" x14ac:dyDescent="0.2"/>
    <row r="66" customFormat="1" ht="15" customHeight="1" x14ac:dyDescent="0.2"/>
    <row r="67" customFormat="1" ht="15" customHeight="1" x14ac:dyDescent="0.2"/>
    <row r="68" customFormat="1" ht="15" customHeight="1" x14ac:dyDescent="0.2"/>
    <row r="69" customFormat="1" ht="15" customHeight="1" x14ac:dyDescent="0.2"/>
    <row r="70" customFormat="1" ht="15" customHeight="1" x14ac:dyDescent="0.2"/>
    <row r="71" customFormat="1" ht="15" customHeight="1" x14ac:dyDescent="0.2"/>
    <row r="72" customFormat="1" ht="15" customHeight="1" x14ac:dyDescent="0.2"/>
    <row r="73" customFormat="1" ht="15" customHeight="1" x14ac:dyDescent="0.2"/>
    <row r="74" customFormat="1" ht="15" customHeight="1" x14ac:dyDescent="0.2"/>
    <row r="75" customFormat="1" ht="15" customHeight="1" x14ac:dyDescent="0.2"/>
    <row r="76" customFormat="1" ht="15" customHeight="1" x14ac:dyDescent="0.2"/>
    <row r="77" customFormat="1" ht="15" customHeight="1" x14ac:dyDescent="0.2"/>
    <row r="78" customFormat="1" ht="15" customHeight="1" x14ac:dyDescent="0.2"/>
    <row r="79" customFormat="1" ht="15" customHeight="1" x14ac:dyDescent="0.2"/>
    <row r="80" customFormat="1" ht="15" customHeight="1" x14ac:dyDescent="0.2"/>
    <row r="81" customFormat="1" ht="15" customHeight="1" x14ac:dyDescent="0.2"/>
    <row r="82" customFormat="1" ht="15" customHeight="1" x14ac:dyDescent="0.2"/>
    <row r="83" customFormat="1" ht="15" customHeight="1" x14ac:dyDescent="0.2"/>
    <row r="84" customFormat="1" ht="15" customHeight="1" x14ac:dyDescent="0.2"/>
    <row r="85" customFormat="1" ht="15" customHeight="1" x14ac:dyDescent="0.2"/>
    <row r="86" customFormat="1" ht="15" customHeight="1" x14ac:dyDescent="0.2"/>
    <row r="87" customFormat="1" ht="15" customHeight="1" x14ac:dyDescent="0.2"/>
    <row r="88" customFormat="1" ht="15" customHeight="1" x14ac:dyDescent="0.2"/>
    <row r="89" customFormat="1" ht="15" customHeight="1" x14ac:dyDescent="0.2"/>
    <row r="90" customFormat="1" ht="15" customHeight="1" x14ac:dyDescent="0.2"/>
    <row r="91" customFormat="1" ht="15" customHeight="1" x14ac:dyDescent="0.2"/>
    <row r="92" customFormat="1" ht="15" customHeight="1" x14ac:dyDescent="0.2"/>
    <row r="93" customFormat="1" ht="15" customHeight="1" x14ac:dyDescent="0.2"/>
    <row r="94" customFormat="1" ht="15" customHeight="1" x14ac:dyDescent="0.2"/>
    <row r="95" customFormat="1" ht="15" customHeight="1" x14ac:dyDescent="0.2"/>
    <row r="96" customFormat="1" ht="15" customHeight="1" x14ac:dyDescent="0.2"/>
    <row r="97" customFormat="1" ht="15" customHeight="1" x14ac:dyDescent="0.2"/>
    <row r="98" customFormat="1" ht="15" customHeight="1" x14ac:dyDescent="0.2"/>
    <row r="99" customFormat="1" ht="15" customHeight="1" x14ac:dyDescent="0.2"/>
    <row r="100" customFormat="1" ht="15" customHeight="1" x14ac:dyDescent="0.2"/>
    <row r="101" customFormat="1" ht="15" customHeight="1" x14ac:dyDescent="0.2"/>
    <row r="102" customFormat="1" ht="15" customHeight="1" x14ac:dyDescent="0.2"/>
    <row r="103" customFormat="1" ht="15" customHeight="1" x14ac:dyDescent="0.2"/>
    <row r="104" customFormat="1" ht="15" customHeight="1" x14ac:dyDescent="0.2"/>
    <row r="105" customFormat="1" ht="15" customHeight="1" x14ac:dyDescent="0.2"/>
    <row r="106" customFormat="1" ht="15" customHeight="1" x14ac:dyDescent="0.2"/>
    <row r="107" customFormat="1" ht="15" customHeight="1" x14ac:dyDescent="0.2"/>
    <row r="108" customFormat="1" ht="15" customHeight="1" x14ac:dyDescent="0.2"/>
  </sheetData>
  <customSheetViews>
    <customSheetView guid="{B7440494-8EA9-4463-9947-E5D20E74049D}" showGridLines="0">
      <pane xSplit="1" ySplit="10" topLeftCell="AF11" activePane="bottomRight" state="frozen"/>
      <selection pane="bottomRight" activeCell="AO6" sqref="AO6"/>
      <pageMargins left="0" right="0" top="0.78740157480314965" bottom="0" header="0" footer="0"/>
      <printOptions horizontalCentered="1"/>
      <pageSetup paperSize="9" scale="112" orientation="landscape" horizontalDpi="1200" verticalDpi="1200" r:id="rId1"/>
      <headerFooter alignWithMargins="0">
        <oddHeader>&amp;R&amp;P/&amp;N</oddHeader>
      </headerFooter>
    </customSheetView>
    <customSheetView guid="{6D89F6EF-F5AD-478F-979A-5AF1BC78EF91}" showGridLines="0">
      <pane xSplit="2" ySplit="9" topLeftCell="C10" activePane="bottomRight" state="frozen"/>
      <selection pane="bottomRight" activeCell="C10" sqref="C10"/>
      <colBreaks count="3" manualBreakCount="3">
        <brk id="9" max="25" man="1"/>
        <brk id="25" max="25" man="1"/>
        <brk id="41" max="25" man="1"/>
      </colBreaks>
      <pageMargins left="0" right="0" top="1.1811023622047245" bottom="0" header="0" footer="0"/>
      <printOptions horizontalCentered="1"/>
      <pageSetup paperSize="9" fitToWidth="4" orientation="landscape" horizontalDpi="1200" verticalDpi="1200" r:id="rId2"/>
      <headerFooter alignWithMargins="0"/>
    </customSheetView>
    <customSheetView guid="{A9134056-6B1C-4A42-AFE9-9712EF3EF3D4}" showPageBreaks="1" showGridLines="0" printArea="1">
      <pane xSplit="2" ySplit="9" topLeftCell="C10" activePane="bottomRight" state="frozen"/>
      <selection pane="bottomRight" activeCell="C10" sqref="C10"/>
      <colBreaks count="4" manualBreakCount="4">
        <brk id="9" max="25" man="1"/>
        <brk id="19" min="1" max="26" man="1"/>
        <brk id="25" max="25" man="1"/>
        <brk id="41" max="25" man="1"/>
      </colBreaks>
      <pageMargins left="0" right="0" top="1.1811023622047245" bottom="0" header="0" footer="0"/>
      <printOptions horizontalCentered="1"/>
      <pageSetup paperSize="9" fitToWidth="4" orientation="landscape" horizontalDpi="1200" verticalDpi="1200" r:id="rId3"/>
      <headerFooter alignWithMargins="0"/>
    </customSheetView>
  </customSheetViews>
  <hyperlinks>
    <hyperlink ref="AS6" location="Índex!E9" display="Índex"/>
  </hyperlinks>
  <printOptions horizontalCentered="1"/>
  <pageMargins left="0" right="0" top="0.39370078740157483" bottom="0" header="0" footer="0"/>
  <pageSetup paperSize="9" orientation="landscape" horizontalDpi="1200" verticalDpi="1200" r:id="rId4"/>
  <headerFooter alignWithMargins="0">
    <oddHeader>&amp;R&amp;P/&amp;N</oddHeader>
  </headerFooter>
  <colBreaks count="5" manualBreakCount="5">
    <brk id="9" min="1" max="15" man="1"/>
    <brk id="17" min="1" max="15" man="1"/>
    <brk id="25" min="1" max="15" man="1"/>
    <brk id="33" min="1" max="15" man="1"/>
    <brk id="40" min="1" max="15" man="1"/>
  </colBreaks>
  <drawing r:id="rId5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9"/>
  <dimension ref="A1:DQ113"/>
  <sheetViews>
    <sheetView showGridLines="0" zoomScaleNormal="100" workbookViewId="0">
      <pane xSplit="1" ySplit="8" topLeftCell="AN9" activePane="bottomRight" state="frozen"/>
      <selection activeCell="E9" sqref="E9"/>
      <selection pane="topRight" activeCell="E9" sqref="E9"/>
      <selection pane="bottomLeft" activeCell="E9" sqref="E9"/>
      <selection pane="bottomRight" activeCell="E9" sqref="E9"/>
    </sheetView>
  </sheetViews>
  <sheetFormatPr defaultColWidth="10.7109375" defaultRowHeight="15" customHeight="1" x14ac:dyDescent="0.2"/>
  <cols>
    <col min="1" max="1" width="50.7109375" style="82" customWidth="1"/>
    <col min="2" max="25" width="10.7109375" style="82" customWidth="1"/>
    <col min="26" max="29" width="10.7109375" style="78" customWidth="1"/>
    <col min="30" max="16384" width="10.7109375" style="82"/>
  </cols>
  <sheetData>
    <row r="1" spans="1:93" s="25" customFormat="1" ht="15" customHeight="1" x14ac:dyDescent="0.2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2"/>
      <c r="AW1" s="62"/>
      <c r="AX1" s="62"/>
      <c r="AY1" s="62"/>
      <c r="AZ1" s="62"/>
      <c r="BA1" s="62"/>
      <c r="BB1" s="62"/>
      <c r="BC1" s="62"/>
      <c r="BD1" s="62"/>
      <c r="BE1" s="62"/>
      <c r="BF1" s="62"/>
      <c r="BG1" s="62"/>
      <c r="BH1" s="62"/>
      <c r="BI1" s="62"/>
      <c r="BJ1" s="56"/>
      <c r="BK1" s="56"/>
      <c r="BL1" s="56"/>
      <c r="BM1" s="56"/>
      <c r="BN1" s="56"/>
      <c r="BO1" s="56"/>
      <c r="BP1" s="56"/>
      <c r="BQ1" s="56"/>
      <c r="BR1" s="56"/>
      <c r="BS1" s="56"/>
      <c r="BT1" s="56"/>
      <c r="BU1" s="56"/>
    </row>
    <row r="2" spans="1:93" s="25" customFormat="1" ht="15" customHeight="1" x14ac:dyDescent="0.25">
      <c r="A2" s="56"/>
      <c r="B2" s="199"/>
      <c r="C2" s="56"/>
      <c r="D2" s="56"/>
      <c r="E2" s="216"/>
      <c r="F2" s="216"/>
      <c r="G2" s="216"/>
      <c r="H2" s="56"/>
      <c r="I2" s="56"/>
      <c r="J2" s="56"/>
      <c r="K2" s="21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  <c r="BM2" s="56"/>
      <c r="BN2" s="56"/>
      <c r="BO2" s="56"/>
      <c r="BP2" s="56"/>
      <c r="BQ2" s="56"/>
      <c r="BR2" s="56"/>
      <c r="BS2" s="56"/>
      <c r="BT2" s="56"/>
      <c r="BU2" s="56"/>
    </row>
    <row r="3" spans="1:93" s="25" customFormat="1" ht="15" customHeight="1" x14ac:dyDescent="0.25">
      <c r="A3" s="57"/>
      <c r="B3" s="57"/>
      <c r="C3" s="61"/>
      <c r="D3" s="57"/>
      <c r="E3" s="217"/>
      <c r="F3" s="217"/>
      <c r="G3" s="217"/>
      <c r="H3" s="57"/>
      <c r="I3" s="57"/>
      <c r="J3" s="57"/>
      <c r="K3" s="21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7"/>
      <c r="BT3" s="57"/>
      <c r="BU3" s="57"/>
    </row>
    <row r="4" spans="1:93" s="25" customFormat="1" ht="15" customHeight="1" x14ac:dyDescent="0.2">
      <c r="A4" s="58"/>
      <c r="B4" s="58"/>
      <c r="C4" s="58"/>
      <c r="D4" s="58"/>
      <c r="E4" s="218"/>
      <c r="F4" s="218"/>
      <c r="G4" s="218"/>
      <c r="H4" s="58"/>
      <c r="I4" s="58"/>
      <c r="J4" s="58"/>
      <c r="K4" s="21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  <c r="CG4" s="198"/>
      <c r="CH4" s="198"/>
      <c r="CI4" s="198"/>
      <c r="CJ4" s="198"/>
      <c r="CK4" s="198"/>
      <c r="CL4" s="198"/>
      <c r="CM4" s="198"/>
      <c r="CN4" s="198"/>
      <c r="CO4" s="198"/>
    </row>
    <row r="5" spans="1:93" s="25" customFormat="1" ht="26.25" thickBot="1" x14ac:dyDescent="0.35">
      <c r="A5" s="687" t="s">
        <v>514</v>
      </c>
      <c r="B5" s="61"/>
      <c r="C5" s="59"/>
      <c r="D5" s="61"/>
      <c r="E5" s="59"/>
      <c r="F5" s="114"/>
      <c r="G5" s="59"/>
      <c r="H5" s="665"/>
      <c r="I5" s="59"/>
      <c r="J5" s="59"/>
      <c r="K5" s="59"/>
      <c r="L5" s="59"/>
      <c r="M5" s="59"/>
      <c r="N5" s="59"/>
      <c r="O5" s="59"/>
      <c r="P5" s="59"/>
      <c r="Q5" s="59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59"/>
      <c r="BR5" s="59"/>
      <c r="BS5" s="59"/>
      <c r="BT5" s="59"/>
      <c r="BU5" s="59"/>
      <c r="BW5" s="114"/>
      <c r="CA5" s="114"/>
      <c r="CC5" s="134"/>
      <c r="CF5" s="65"/>
      <c r="CG5" s="194"/>
      <c r="CH5" s="194"/>
      <c r="CI5" s="194"/>
      <c r="CJ5" s="225"/>
      <c r="CK5" s="194"/>
      <c r="CL5" s="194"/>
      <c r="CM5" s="194"/>
      <c r="CN5" s="194"/>
      <c r="CO5" s="198"/>
    </row>
    <row r="6" spans="1:93" s="236" customFormat="1" ht="15" customHeight="1" thickTop="1" x14ac:dyDescent="0.2">
      <c r="A6" s="234"/>
      <c r="B6" s="234"/>
      <c r="C6" s="235"/>
      <c r="D6" s="235"/>
      <c r="E6" s="235"/>
      <c r="AL6" s="133"/>
      <c r="AN6" s="133"/>
      <c r="AO6" s="133"/>
      <c r="AP6" s="400"/>
      <c r="AQ6" s="400"/>
      <c r="AR6" s="400"/>
      <c r="AS6" s="400" t="s">
        <v>662</v>
      </c>
    </row>
    <row r="7" spans="1:93" s="183" customFormat="1" ht="15" customHeight="1" x14ac:dyDescent="0.2">
      <c r="A7" s="182"/>
      <c r="B7" s="195" t="s">
        <v>35</v>
      </c>
      <c r="C7" s="195" t="s">
        <v>36</v>
      </c>
      <c r="D7" s="195" t="s">
        <v>321</v>
      </c>
      <c r="E7" s="195" t="s">
        <v>331</v>
      </c>
      <c r="F7" s="195" t="s">
        <v>37</v>
      </c>
      <c r="G7" s="195" t="s">
        <v>38</v>
      </c>
      <c r="H7" s="195" t="s">
        <v>322</v>
      </c>
      <c r="I7" s="195" t="s">
        <v>332</v>
      </c>
      <c r="J7" s="195" t="s">
        <v>39</v>
      </c>
      <c r="K7" s="195" t="s">
        <v>40</v>
      </c>
      <c r="L7" s="195" t="s">
        <v>323</v>
      </c>
      <c r="M7" s="195" t="s">
        <v>333</v>
      </c>
      <c r="N7" s="195" t="s">
        <v>41</v>
      </c>
      <c r="O7" s="195" t="s">
        <v>42</v>
      </c>
      <c r="P7" s="195" t="s">
        <v>324</v>
      </c>
      <c r="Q7" s="195" t="s">
        <v>334</v>
      </c>
      <c r="R7" s="195" t="s">
        <v>43</v>
      </c>
      <c r="S7" s="195" t="s">
        <v>44</v>
      </c>
      <c r="T7" s="195" t="s">
        <v>325</v>
      </c>
      <c r="U7" s="195" t="s">
        <v>335</v>
      </c>
      <c r="V7" s="195" t="s">
        <v>45</v>
      </c>
      <c r="W7" s="195" t="s">
        <v>46</v>
      </c>
      <c r="X7" s="195" t="s">
        <v>326</v>
      </c>
      <c r="Y7" s="195" t="s">
        <v>336</v>
      </c>
      <c r="Z7" s="195" t="s">
        <v>47</v>
      </c>
      <c r="AA7" s="195" t="s">
        <v>48</v>
      </c>
      <c r="AB7" s="195" t="s">
        <v>327</v>
      </c>
      <c r="AC7" s="195" t="s">
        <v>337</v>
      </c>
      <c r="AD7" s="195" t="s">
        <v>49</v>
      </c>
      <c r="AE7" s="195" t="s">
        <v>50</v>
      </c>
      <c r="AF7" s="195" t="s">
        <v>328</v>
      </c>
      <c r="AG7" s="195" t="s">
        <v>338</v>
      </c>
      <c r="AH7" s="195" t="s">
        <v>51</v>
      </c>
      <c r="AI7" s="195" t="s">
        <v>52</v>
      </c>
      <c r="AJ7" s="195" t="s">
        <v>329</v>
      </c>
      <c r="AK7" s="195" t="s">
        <v>339</v>
      </c>
      <c r="AL7" s="195" t="s">
        <v>53</v>
      </c>
      <c r="AM7" s="195" t="s">
        <v>54</v>
      </c>
      <c r="AN7" s="195" t="s">
        <v>330</v>
      </c>
      <c r="AO7" s="410" t="s">
        <v>340</v>
      </c>
      <c r="AP7" s="410" t="s">
        <v>71</v>
      </c>
      <c r="AQ7" s="591" t="s">
        <v>374</v>
      </c>
      <c r="AR7" s="664" t="s">
        <v>376</v>
      </c>
      <c r="AS7" s="664" t="s">
        <v>399</v>
      </c>
      <c r="CC7" s="243"/>
    </row>
    <row r="8" spans="1:93" s="178" customFormat="1" ht="9.9499999999999993" customHeight="1" x14ac:dyDescent="0.2">
      <c r="A8" s="233"/>
      <c r="B8" s="233"/>
      <c r="C8" s="233"/>
      <c r="D8" s="233"/>
      <c r="E8" s="233"/>
      <c r="F8" s="233"/>
      <c r="G8" s="233"/>
      <c r="H8" s="233"/>
      <c r="I8" s="233"/>
      <c r="J8" s="233"/>
      <c r="K8" s="233"/>
      <c r="L8" s="233"/>
      <c r="M8" s="233"/>
      <c r="N8" s="233"/>
      <c r="O8" s="233"/>
      <c r="P8" s="233"/>
      <c r="Q8" s="233"/>
      <c r="R8" s="233"/>
      <c r="S8" s="233"/>
      <c r="T8" s="233"/>
      <c r="U8" s="233"/>
      <c r="V8" s="233"/>
      <c r="W8" s="233"/>
      <c r="X8" s="233"/>
      <c r="Y8" s="233"/>
      <c r="Z8" s="233"/>
      <c r="AA8" s="233"/>
      <c r="AB8" s="233"/>
      <c r="AC8" s="233"/>
      <c r="AD8" s="233"/>
      <c r="AE8" s="233"/>
      <c r="AF8" s="233"/>
      <c r="AG8" s="233"/>
      <c r="AH8" s="233"/>
      <c r="AI8" s="233"/>
      <c r="AJ8" s="233"/>
      <c r="AK8" s="233"/>
      <c r="AL8" s="233"/>
      <c r="AM8" s="233"/>
      <c r="AN8" s="233"/>
      <c r="AO8" s="233"/>
      <c r="AP8" s="233"/>
      <c r="AQ8" s="233"/>
      <c r="AR8" s="233"/>
      <c r="AS8" s="233"/>
      <c r="AT8" s="191"/>
      <c r="AU8" s="191"/>
      <c r="AV8" s="191"/>
      <c r="AW8" s="191"/>
      <c r="AX8" s="191"/>
      <c r="AY8" s="191"/>
      <c r="AZ8" s="191"/>
      <c r="BA8" s="191"/>
      <c r="BB8" s="191"/>
      <c r="BC8" s="191"/>
      <c r="BD8" s="191"/>
      <c r="BE8" s="191"/>
      <c r="BF8" s="191"/>
      <c r="BG8" s="191"/>
      <c r="BH8" s="191"/>
      <c r="BI8" s="191"/>
      <c r="BJ8" s="191"/>
      <c r="BK8" s="191"/>
      <c r="BL8" s="191"/>
      <c r="BM8" s="191"/>
      <c r="BN8" s="191"/>
      <c r="BO8" s="191"/>
      <c r="BP8" s="191"/>
      <c r="BQ8" s="191"/>
      <c r="BR8" s="191"/>
      <c r="BS8" s="191"/>
      <c r="BT8" s="191"/>
      <c r="BU8" s="191"/>
      <c r="BV8" s="191"/>
      <c r="BW8" s="191"/>
      <c r="BX8" s="191"/>
      <c r="BY8" s="191"/>
      <c r="BZ8" s="191"/>
      <c r="CA8" s="191"/>
      <c r="CB8" s="191"/>
      <c r="CC8" s="191"/>
      <c r="CD8" s="191"/>
    </row>
    <row r="9" spans="1:93" s="178" customFormat="1" ht="5.0999999999999996" customHeight="1" x14ac:dyDescent="0.2">
      <c r="A9" s="203"/>
      <c r="B9" s="203"/>
      <c r="C9" s="203"/>
      <c r="D9" s="203"/>
      <c r="E9" s="203"/>
      <c r="F9" s="203"/>
      <c r="G9" s="203"/>
      <c r="H9" s="203"/>
      <c r="I9" s="203"/>
      <c r="J9" s="203"/>
      <c r="K9" s="203"/>
      <c r="L9" s="203"/>
      <c r="M9" s="203"/>
      <c r="N9" s="203"/>
      <c r="O9" s="203"/>
      <c r="P9" s="203"/>
      <c r="Q9" s="203"/>
      <c r="R9" s="203"/>
      <c r="S9" s="203"/>
      <c r="T9" s="203"/>
      <c r="U9" s="203"/>
      <c r="V9" s="203"/>
      <c r="W9" s="203"/>
      <c r="X9" s="203"/>
      <c r="Y9" s="203"/>
      <c r="Z9" s="203"/>
      <c r="AA9" s="203"/>
      <c r="AB9" s="203"/>
      <c r="AC9" s="203"/>
      <c r="AD9" s="203"/>
      <c r="AE9" s="203"/>
      <c r="AF9" s="203"/>
      <c r="AG9" s="203"/>
      <c r="AH9" s="203"/>
      <c r="AI9" s="203"/>
      <c r="AJ9" s="203"/>
      <c r="AK9" s="203"/>
      <c r="AL9" s="203"/>
      <c r="AM9" s="203"/>
      <c r="AN9" s="203"/>
      <c r="AO9" s="203"/>
      <c r="AP9" s="203"/>
      <c r="AQ9" s="203"/>
      <c r="AR9" s="203"/>
      <c r="AS9" s="203"/>
      <c r="AT9" s="203"/>
      <c r="AU9" s="203"/>
      <c r="AV9" s="203"/>
      <c r="AW9" s="203"/>
      <c r="AX9" s="203"/>
      <c r="AY9" s="203"/>
      <c r="AZ9" s="203"/>
      <c r="BA9" s="203"/>
      <c r="BB9" s="203"/>
      <c r="BC9" s="203"/>
      <c r="BD9" s="203"/>
      <c r="BE9" s="203"/>
      <c r="BF9" s="203"/>
      <c r="BG9" s="203"/>
      <c r="BH9" s="203"/>
      <c r="BI9" s="203"/>
      <c r="BJ9" s="203"/>
      <c r="BK9" s="203"/>
      <c r="BL9" s="203"/>
      <c r="BM9" s="203"/>
      <c r="BN9" s="203"/>
      <c r="BO9" s="203"/>
      <c r="BP9" s="203"/>
      <c r="BQ9" s="203"/>
      <c r="BR9" s="203"/>
      <c r="BS9" s="203"/>
      <c r="BT9" s="203"/>
      <c r="BU9" s="203"/>
      <c r="BV9" s="203"/>
      <c r="BW9" s="203"/>
      <c r="BX9" s="203"/>
      <c r="BY9" s="203"/>
      <c r="BZ9" s="203"/>
      <c r="CA9" s="203"/>
      <c r="CB9" s="203"/>
      <c r="CC9" s="203"/>
      <c r="CD9" s="203"/>
    </row>
    <row r="10" spans="1:93" s="228" customFormat="1" ht="15" customHeight="1" x14ac:dyDescent="0.2">
      <c r="A10" s="226" t="s">
        <v>515</v>
      </c>
      <c r="B10" s="227">
        <v>35121</v>
      </c>
      <c r="C10" s="227">
        <v>36731</v>
      </c>
      <c r="D10" s="227">
        <v>38416</v>
      </c>
      <c r="E10" s="227">
        <v>41264</v>
      </c>
      <c r="F10" s="227">
        <v>42064</v>
      </c>
      <c r="G10" s="227">
        <v>43973</v>
      </c>
      <c r="H10" s="227">
        <v>44501</v>
      </c>
      <c r="I10" s="227">
        <v>45922</v>
      </c>
      <c r="J10" s="196">
        <v>47005</v>
      </c>
      <c r="K10" s="227">
        <v>49392</v>
      </c>
      <c r="L10" s="227">
        <v>51332</v>
      </c>
      <c r="M10" s="227">
        <v>54848</v>
      </c>
      <c r="N10" s="196">
        <v>56701</v>
      </c>
      <c r="O10" s="196">
        <v>58076</v>
      </c>
      <c r="P10" s="196">
        <v>60702</v>
      </c>
      <c r="Q10" s="196">
        <v>64807</v>
      </c>
      <c r="R10" s="196">
        <v>66714</v>
      </c>
      <c r="S10" s="196">
        <v>69866</v>
      </c>
      <c r="T10" s="196">
        <v>72486</v>
      </c>
      <c r="U10" s="196">
        <v>78521</v>
      </c>
      <c r="V10" s="196">
        <v>80616</v>
      </c>
      <c r="W10" s="196">
        <v>84633</v>
      </c>
      <c r="X10" s="196">
        <v>87923</v>
      </c>
      <c r="Y10" s="196">
        <v>93760</v>
      </c>
      <c r="Z10" s="196">
        <v>96103</v>
      </c>
      <c r="AA10" s="196">
        <v>99554</v>
      </c>
      <c r="AB10" s="196">
        <f>943+99799</f>
        <v>100742</v>
      </c>
      <c r="AC10" s="196">
        <v>105728</v>
      </c>
      <c r="AD10" s="196">
        <f>767+106417</f>
        <v>107184</v>
      </c>
      <c r="AE10" s="196">
        <v>111292</v>
      </c>
      <c r="AF10" s="196">
        <v>113853</v>
      </c>
      <c r="AG10" s="196">
        <v>121705</v>
      </c>
      <c r="AH10" s="196">
        <f>834+123982</f>
        <v>124816</v>
      </c>
      <c r="AI10" s="196">
        <f>848+130731</f>
        <v>131579</v>
      </c>
      <c r="AJ10" s="196">
        <v>135218</v>
      </c>
      <c r="AK10" s="196">
        <v>144562</v>
      </c>
      <c r="AL10" s="196">
        <v>149171</v>
      </c>
      <c r="AM10" s="196">
        <v>155953</v>
      </c>
      <c r="AN10" s="196">
        <f>898+174767</f>
        <v>175665</v>
      </c>
      <c r="AO10" s="196">
        <f>913+184594</f>
        <v>185507</v>
      </c>
      <c r="AP10" s="196">
        <f>923+190596</f>
        <v>191519</v>
      </c>
      <c r="AQ10" s="196">
        <f>1031+194727</f>
        <v>195758</v>
      </c>
      <c r="AR10" s="196">
        <v>201939</v>
      </c>
      <c r="AS10" s="200">
        <f>1052+207819</f>
        <v>208871</v>
      </c>
    </row>
    <row r="11" spans="1:93" s="228" customFormat="1" ht="15" customHeight="1" x14ac:dyDescent="0.2">
      <c r="A11" s="226" t="s">
        <v>516</v>
      </c>
      <c r="B11" s="227">
        <v>3546</v>
      </c>
      <c r="C11" s="227">
        <v>3657</v>
      </c>
      <c r="D11" s="227">
        <v>3740</v>
      </c>
      <c r="E11" s="227">
        <v>3816</v>
      </c>
      <c r="F11" s="227">
        <v>3992</v>
      </c>
      <c r="G11" s="237">
        <v>4126</v>
      </c>
      <c r="H11" s="237">
        <v>4197</v>
      </c>
      <c r="I11" s="237">
        <v>4280</v>
      </c>
      <c r="J11" s="196">
        <v>4319</v>
      </c>
      <c r="K11" s="227">
        <v>4506</v>
      </c>
      <c r="L11" s="227">
        <v>4447</v>
      </c>
      <c r="M11" s="227">
        <v>4592</v>
      </c>
      <c r="N11" s="196">
        <v>4731</v>
      </c>
      <c r="O11" s="196">
        <v>4878</v>
      </c>
      <c r="P11" s="196">
        <v>4945</v>
      </c>
      <c r="Q11" s="196">
        <v>5120</v>
      </c>
      <c r="R11" s="196">
        <v>5294</v>
      </c>
      <c r="S11" s="196">
        <v>5359</v>
      </c>
      <c r="T11" s="196">
        <v>5416</v>
      </c>
      <c r="U11" s="196">
        <v>5536</v>
      </c>
      <c r="V11" s="196">
        <v>5635</v>
      </c>
      <c r="W11" s="196">
        <v>5805</v>
      </c>
      <c r="X11" s="196">
        <v>6038</v>
      </c>
      <c r="Y11" s="196">
        <v>6121</v>
      </c>
      <c r="Z11" s="196">
        <v>6274</v>
      </c>
      <c r="AA11" s="196">
        <v>6364</v>
      </c>
      <c r="AB11" s="196">
        <f>192+6294</f>
        <v>6486</v>
      </c>
      <c r="AC11" s="196">
        <v>6614</v>
      </c>
      <c r="AD11" s="196">
        <f>169+6768</f>
        <v>6937</v>
      </c>
      <c r="AE11" s="196">
        <v>6988</v>
      </c>
      <c r="AF11" s="196">
        <v>6976</v>
      </c>
      <c r="AG11" s="196">
        <v>7157</v>
      </c>
      <c r="AH11" s="196">
        <f>172+7167</f>
        <v>7339</v>
      </c>
      <c r="AI11" s="196">
        <f>7357+178</f>
        <v>7535</v>
      </c>
      <c r="AJ11" s="196">
        <v>7620</v>
      </c>
      <c r="AK11" s="196">
        <v>7935</v>
      </c>
      <c r="AL11" s="196">
        <v>8195</v>
      </c>
      <c r="AM11" s="196">
        <v>8416</v>
      </c>
      <c r="AN11" s="196">
        <f>211+8910</f>
        <v>9121</v>
      </c>
      <c r="AO11" s="196">
        <f>211+8989</f>
        <v>9200</v>
      </c>
      <c r="AP11" s="196">
        <f>220+9121</f>
        <v>9341</v>
      </c>
      <c r="AQ11" s="196">
        <f>252+9082</f>
        <v>9334</v>
      </c>
      <c r="AR11" s="196">
        <v>9386</v>
      </c>
      <c r="AS11" s="200">
        <f>266+9368</f>
        <v>9634</v>
      </c>
    </row>
    <row r="12" spans="1:93" s="228" customFormat="1" ht="15" customHeight="1" x14ac:dyDescent="0.2">
      <c r="A12" s="226" t="s">
        <v>517</v>
      </c>
      <c r="B12" s="227">
        <v>1845</v>
      </c>
      <c r="C12" s="227">
        <v>1904</v>
      </c>
      <c r="D12" s="227">
        <v>1955</v>
      </c>
      <c r="E12" s="227">
        <v>2014</v>
      </c>
      <c r="F12" s="227">
        <v>2051</v>
      </c>
      <c r="G12" s="237">
        <v>2101</v>
      </c>
      <c r="H12" s="237">
        <v>2165</v>
      </c>
      <c r="I12" s="237">
        <v>2198</v>
      </c>
      <c r="J12" s="196">
        <v>2216</v>
      </c>
      <c r="K12" s="227">
        <v>2239</v>
      </c>
      <c r="L12" s="227">
        <v>2328</v>
      </c>
      <c r="M12" s="227">
        <v>2480</v>
      </c>
      <c r="N12" s="196">
        <v>2578</v>
      </c>
      <c r="O12" s="196">
        <v>2728</v>
      </c>
      <c r="P12" s="196">
        <v>2866</v>
      </c>
      <c r="Q12" s="196">
        <v>3092</v>
      </c>
      <c r="R12" s="196">
        <v>3241</v>
      </c>
      <c r="S12" s="196">
        <v>3413</v>
      </c>
      <c r="T12" s="196">
        <v>3633</v>
      </c>
      <c r="U12" s="196">
        <v>3838</v>
      </c>
      <c r="V12" s="196">
        <v>3983</v>
      </c>
      <c r="W12" s="196">
        <v>4197</v>
      </c>
      <c r="X12" s="196">
        <v>4448</v>
      </c>
      <c r="Y12" s="196">
        <v>4731</v>
      </c>
      <c r="Z12" s="196">
        <v>4895</v>
      </c>
      <c r="AA12" s="196">
        <v>4976</v>
      </c>
      <c r="AB12" s="196">
        <v>5057</v>
      </c>
      <c r="AC12" s="196">
        <v>5215</v>
      </c>
      <c r="AD12" s="196">
        <v>5351</v>
      </c>
      <c r="AE12" s="196">
        <v>5520</v>
      </c>
      <c r="AF12" s="196">
        <v>5747</v>
      </c>
      <c r="AG12" s="196">
        <v>5979</v>
      </c>
      <c r="AH12" s="196">
        <v>6136</v>
      </c>
      <c r="AI12" s="196">
        <v>6137</v>
      </c>
      <c r="AJ12" s="196">
        <v>6162</v>
      </c>
      <c r="AK12" s="196">
        <v>6083</v>
      </c>
      <c r="AL12" s="196">
        <v>5965</v>
      </c>
      <c r="AM12" s="196">
        <v>5853</v>
      </c>
      <c r="AN12" s="196">
        <v>6562</v>
      </c>
      <c r="AO12" s="196">
        <v>6535</v>
      </c>
      <c r="AP12" s="196">
        <v>6404</v>
      </c>
      <c r="AQ12" s="196">
        <v>6295</v>
      </c>
      <c r="AR12" s="196">
        <v>6388</v>
      </c>
      <c r="AS12" s="200">
        <v>6550</v>
      </c>
    </row>
    <row r="13" spans="1:93" s="228" customFormat="1" ht="15" customHeight="1" x14ac:dyDescent="0.2">
      <c r="A13" s="226" t="s">
        <v>518</v>
      </c>
      <c r="B13" s="227">
        <v>1684</v>
      </c>
      <c r="C13" s="227">
        <v>1627</v>
      </c>
      <c r="D13" s="227">
        <v>1585</v>
      </c>
      <c r="E13" s="227">
        <v>1615</v>
      </c>
      <c r="F13" s="227">
        <v>1738</v>
      </c>
      <c r="G13" s="237">
        <v>1652</v>
      </c>
      <c r="H13" s="237">
        <v>1648</v>
      </c>
      <c r="I13" s="237">
        <v>1807</v>
      </c>
      <c r="J13" s="196">
        <v>1865</v>
      </c>
      <c r="K13" s="227">
        <v>1903</v>
      </c>
      <c r="L13" s="227">
        <v>1866</v>
      </c>
      <c r="M13" s="227">
        <v>1950</v>
      </c>
      <c r="N13" s="196">
        <v>2026</v>
      </c>
      <c r="O13" s="196">
        <v>2068</v>
      </c>
      <c r="P13" s="196">
        <v>2047</v>
      </c>
      <c r="Q13" s="196">
        <v>2154</v>
      </c>
      <c r="R13" s="196">
        <v>2038</v>
      </c>
      <c r="S13" s="196">
        <v>1795</v>
      </c>
      <c r="T13" s="196">
        <v>1723</v>
      </c>
      <c r="U13" s="196">
        <v>1849</v>
      </c>
      <c r="V13" s="196">
        <v>2009</v>
      </c>
      <c r="W13" s="196">
        <v>2021</v>
      </c>
      <c r="X13" s="196">
        <v>2271</v>
      </c>
      <c r="Y13" s="196">
        <v>2224</v>
      </c>
      <c r="Z13" s="196">
        <v>2520</v>
      </c>
      <c r="AA13" s="196">
        <v>2584</v>
      </c>
      <c r="AB13" s="196">
        <f>1357+1228</f>
        <v>2585</v>
      </c>
      <c r="AC13" s="196">
        <v>2556</v>
      </c>
      <c r="AD13" s="196">
        <f>1681+1108</f>
        <v>2789</v>
      </c>
      <c r="AE13" s="196">
        <v>2731</v>
      </c>
      <c r="AF13" s="196">
        <v>2669</v>
      </c>
      <c r="AG13" s="196">
        <v>2663</v>
      </c>
      <c r="AH13" s="196">
        <f>1851+1056</f>
        <v>2907</v>
      </c>
      <c r="AI13" s="196">
        <f>1856+950</f>
        <v>2806</v>
      </c>
      <c r="AJ13" s="196">
        <v>3360</v>
      </c>
      <c r="AK13" s="196">
        <v>3637</v>
      </c>
      <c r="AL13" s="196">
        <v>3688</v>
      </c>
      <c r="AM13" s="196">
        <v>3759</v>
      </c>
      <c r="AN13" s="196">
        <f>2737+1222</f>
        <v>3959</v>
      </c>
      <c r="AO13" s="196">
        <f>2771+1264</f>
        <v>4035</v>
      </c>
      <c r="AP13" s="196">
        <f>2960+1280</f>
        <v>4240</v>
      </c>
      <c r="AQ13" s="196">
        <f>3107+1286</f>
        <v>4393</v>
      </c>
      <c r="AR13" s="196">
        <v>4390</v>
      </c>
      <c r="AS13" s="200">
        <f>3160+1030</f>
        <v>4190</v>
      </c>
    </row>
    <row r="14" spans="1:93" s="228" customFormat="1" ht="15" customHeight="1" x14ac:dyDescent="0.2">
      <c r="A14" s="226" t="s">
        <v>519</v>
      </c>
      <c r="B14" s="227">
        <v>1474</v>
      </c>
      <c r="C14" s="227">
        <v>1473</v>
      </c>
      <c r="D14" s="227">
        <v>1631</v>
      </c>
      <c r="E14" s="227">
        <v>1488</v>
      </c>
      <c r="F14" s="227">
        <v>1480</v>
      </c>
      <c r="G14" s="237">
        <v>1489</v>
      </c>
      <c r="H14" s="237">
        <v>1589</v>
      </c>
      <c r="I14" s="237">
        <v>1665</v>
      </c>
      <c r="J14" s="196">
        <v>1793</v>
      </c>
      <c r="K14" s="227">
        <v>1829</v>
      </c>
      <c r="L14" s="227">
        <v>1906</v>
      </c>
      <c r="M14" s="227">
        <v>2020</v>
      </c>
      <c r="N14" s="196">
        <v>1761</v>
      </c>
      <c r="O14" s="196">
        <v>1864</v>
      </c>
      <c r="P14" s="196">
        <v>1899</v>
      </c>
      <c r="Q14" s="196">
        <v>1865</v>
      </c>
      <c r="R14" s="196">
        <v>1837</v>
      </c>
      <c r="S14" s="196">
        <v>2008</v>
      </c>
      <c r="T14" s="196">
        <v>2101</v>
      </c>
      <c r="U14" s="196">
        <v>2125</v>
      </c>
      <c r="V14" s="196">
        <v>2101</v>
      </c>
      <c r="W14" s="196">
        <v>2268</v>
      </c>
      <c r="X14" s="196">
        <v>2380</v>
      </c>
      <c r="Y14" s="196">
        <v>2260</v>
      </c>
      <c r="Z14" s="196">
        <v>3006</v>
      </c>
      <c r="AA14" s="196">
        <v>3239</v>
      </c>
      <c r="AB14" s="196">
        <f>3199+214</f>
        <v>3413</v>
      </c>
      <c r="AC14" s="196">
        <v>3477</v>
      </c>
      <c r="AD14" s="196">
        <f>3471+289</f>
        <v>3760</v>
      </c>
      <c r="AE14" s="196">
        <v>4082</v>
      </c>
      <c r="AF14" s="196">
        <v>4426</v>
      </c>
      <c r="AG14" s="196">
        <v>4345</v>
      </c>
      <c r="AH14" s="196">
        <f>4057+291</f>
        <v>4348</v>
      </c>
      <c r="AI14" s="196">
        <f>4099+294</f>
        <v>4393</v>
      </c>
      <c r="AJ14" s="196">
        <v>4569</v>
      </c>
      <c r="AK14" s="196">
        <v>4568</v>
      </c>
      <c r="AL14" s="196">
        <v>4467</v>
      </c>
      <c r="AM14" s="196">
        <v>4565</v>
      </c>
      <c r="AN14" s="196">
        <f>4312+684</f>
        <v>4996</v>
      </c>
      <c r="AO14" s="196">
        <f>4265+574</f>
        <v>4839</v>
      </c>
      <c r="AP14" s="196">
        <f>4167+544</f>
        <v>4711</v>
      </c>
      <c r="AQ14" s="196">
        <f>4325+535</f>
        <v>4860</v>
      </c>
      <c r="AR14" s="196">
        <v>4785</v>
      </c>
      <c r="AS14" s="200">
        <f>4069+567</f>
        <v>4636</v>
      </c>
    </row>
    <row r="15" spans="1:93" s="228" customFormat="1" ht="15" customHeight="1" x14ac:dyDescent="0.2">
      <c r="A15" s="226" t="s">
        <v>520</v>
      </c>
      <c r="B15" s="227">
        <f>2086+155</f>
        <v>2241</v>
      </c>
      <c r="C15" s="227">
        <f>2120+363</f>
        <v>2483</v>
      </c>
      <c r="D15" s="227">
        <f>2191+453</f>
        <v>2644</v>
      </c>
      <c r="E15" s="227">
        <f>2500+495</f>
        <v>2995</v>
      </c>
      <c r="F15" s="227">
        <f>2567+471</f>
        <v>3038</v>
      </c>
      <c r="G15" s="237">
        <f>2626+482</f>
        <v>3108</v>
      </c>
      <c r="H15" s="237">
        <f>2679+479</f>
        <v>3158</v>
      </c>
      <c r="I15" s="237">
        <f>2522+479</f>
        <v>3001</v>
      </c>
      <c r="J15" s="196">
        <v>3064</v>
      </c>
      <c r="K15" s="227">
        <f>2607+550</f>
        <v>3157</v>
      </c>
      <c r="L15" s="227">
        <f>2981+557</f>
        <v>3538</v>
      </c>
      <c r="M15" s="227">
        <f>3032+561</f>
        <v>3593</v>
      </c>
      <c r="N15" s="196">
        <f>3078+567</f>
        <v>3645</v>
      </c>
      <c r="O15" s="196">
        <f>3499+212</f>
        <v>3711</v>
      </c>
      <c r="P15" s="196">
        <f>3214+573</f>
        <v>3787</v>
      </c>
      <c r="Q15" s="196">
        <f>3333+591</f>
        <v>3924</v>
      </c>
      <c r="R15" s="196">
        <f>3497+542</f>
        <v>4039</v>
      </c>
      <c r="S15" s="196">
        <f>3553+547</f>
        <v>4100</v>
      </c>
      <c r="T15" s="196">
        <f>3632+540</f>
        <v>4172</v>
      </c>
      <c r="U15" s="196">
        <f>3637+474</f>
        <v>4111</v>
      </c>
      <c r="V15" s="196">
        <f>3706+471</f>
        <v>4177</v>
      </c>
      <c r="W15" s="196">
        <f>3805+404</f>
        <v>4209</v>
      </c>
      <c r="X15" s="196">
        <f>4996+480</f>
        <v>5476</v>
      </c>
      <c r="Y15" s="196">
        <f>5062+469</f>
        <v>5531</v>
      </c>
      <c r="Z15" s="196">
        <v>5155</v>
      </c>
      <c r="AA15" s="196">
        <v>4979</v>
      </c>
      <c r="AB15" s="196">
        <v>5109</v>
      </c>
      <c r="AC15" s="196">
        <v>1470</v>
      </c>
      <c r="AD15" s="196">
        <v>712</v>
      </c>
      <c r="AE15" s="196">
        <v>1234</v>
      </c>
      <c r="AF15" s="196">
        <v>1367</v>
      </c>
      <c r="AG15" s="196">
        <v>1624</v>
      </c>
      <c r="AH15" s="196">
        <v>1632</v>
      </c>
      <c r="AI15" s="196">
        <v>1655</v>
      </c>
      <c r="AJ15" s="196">
        <v>1680</v>
      </c>
      <c r="AK15" s="196">
        <v>948</v>
      </c>
      <c r="AL15" s="196">
        <v>962</v>
      </c>
      <c r="AM15" s="196">
        <v>1076</v>
      </c>
      <c r="AN15" s="196">
        <v>1085</v>
      </c>
      <c r="AO15" s="196">
        <v>899</v>
      </c>
      <c r="AP15" s="196">
        <v>899</v>
      </c>
      <c r="AQ15" s="196">
        <v>492</v>
      </c>
      <c r="AR15" s="196">
        <v>492</v>
      </c>
      <c r="AS15" s="200">
        <v>848</v>
      </c>
    </row>
    <row r="16" spans="1:93" s="228" customFormat="1" ht="15" customHeight="1" x14ac:dyDescent="0.2">
      <c r="A16" s="226" t="s">
        <v>521</v>
      </c>
      <c r="B16" s="227">
        <v>1165</v>
      </c>
      <c r="C16" s="227">
        <v>1230</v>
      </c>
      <c r="D16" s="227">
        <v>1230</v>
      </c>
      <c r="E16" s="227">
        <v>1174</v>
      </c>
      <c r="F16" s="227">
        <v>1225</v>
      </c>
      <c r="G16" s="237">
        <v>1306</v>
      </c>
      <c r="H16" s="237">
        <v>1317</v>
      </c>
      <c r="I16" s="237">
        <v>1388</v>
      </c>
      <c r="J16" s="196">
        <v>1953</v>
      </c>
      <c r="K16" s="227">
        <v>1865</v>
      </c>
      <c r="L16" s="227">
        <v>1983</v>
      </c>
      <c r="M16" s="227">
        <v>2078</v>
      </c>
      <c r="N16" s="196">
        <v>2160</v>
      </c>
      <c r="O16" s="196">
        <v>2143</v>
      </c>
      <c r="P16" s="196">
        <v>2247</v>
      </c>
      <c r="Q16" s="196">
        <v>2277</v>
      </c>
      <c r="R16" s="196">
        <v>2845</v>
      </c>
      <c r="S16" s="196">
        <v>3233</v>
      </c>
      <c r="T16" s="196">
        <v>3403</v>
      </c>
      <c r="U16" s="196">
        <v>3510</v>
      </c>
      <c r="V16" s="196">
        <v>3841</v>
      </c>
      <c r="W16" s="196">
        <v>3933</v>
      </c>
      <c r="X16" s="196">
        <v>3869</v>
      </c>
      <c r="Y16" s="196">
        <v>4119</v>
      </c>
      <c r="Z16" s="196">
        <v>4348</v>
      </c>
      <c r="AA16" s="196">
        <v>4687</v>
      </c>
      <c r="AB16" s="196">
        <f>1196+3652</f>
        <v>4848</v>
      </c>
      <c r="AC16" s="196">
        <v>4981</v>
      </c>
      <c r="AD16" s="196">
        <f>3748+983</f>
        <v>4731</v>
      </c>
      <c r="AE16" s="196">
        <v>4979</v>
      </c>
      <c r="AF16" s="196">
        <v>5097</v>
      </c>
      <c r="AG16" s="196">
        <v>5260</v>
      </c>
      <c r="AH16" s="196">
        <f>4303+1175</f>
        <v>5478</v>
      </c>
      <c r="AI16" s="196">
        <f>4442+1233</f>
        <v>5675</v>
      </c>
      <c r="AJ16" s="196">
        <v>5546</v>
      </c>
      <c r="AK16" s="196">
        <v>5625</v>
      </c>
      <c r="AL16" s="196">
        <v>5901</v>
      </c>
      <c r="AM16" s="196">
        <v>6214</v>
      </c>
      <c r="AN16" s="196">
        <f>4764+1734</f>
        <v>6498</v>
      </c>
      <c r="AO16" s="196">
        <f>4645+1682+1</f>
        <v>6328</v>
      </c>
      <c r="AP16" s="196">
        <f>4624+1650</f>
        <v>6274</v>
      </c>
      <c r="AQ16" s="196">
        <f>4755+1576</f>
        <v>6331</v>
      </c>
      <c r="AR16" s="196">
        <v>5710</v>
      </c>
      <c r="AS16" s="200">
        <f>4291+1588</f>
        <v>5879</v>
      </c>
    </row>
    <row r="17" spans="1:121" s="228" customFormat="1" ht="15" customHeight="1" x14ac:dyDescent="0.2">
      <c r="A17" s="226" t="s">
        <v>522</v>
      </c>
      <c r="B17" s="227">
        <v>365</v>
      </c>
      <c r="C17" s="227">
        <v>400</v>
      </c>
      <c r="D17" s="227">
        <v>406</v>
      </c>
      <c r="E17" s="227">
        <v>402</v>
      </c>
      <c r="F17" s="227">
        <v>375</v>
      </c>
      <c r="G17" s="237">
        <v>411</v>
      </c>
      <c r="H17" s="237">
        <v>341</v>
      </c>
      <c r="I17" s="237">
        <v>291</v>
      </c>
      <c r="J17" s="196">
        <v>325</v>
      </c>
      <c r="K17" s="227">
        <v>355</v>
      </c>
      <c r="L17" s="227">
        <v>362</v>
      </c>
      <c r="M17" s="227">
        <v>367</v>
      </c>
      <c r="N17" s="196">
        <v>392</v>
      </c>
      <c r="O17" s="196">
        <v>361</v>
      </c>
      <c r="P17" s="196">
        <v>354</v>
      </c>
      <c r="Q17" s="196">
        <v>358</v>
      </c>
      <c r="R17" s="196">
        <v>367</v>
      </c>
      <c r="S17" s="196">
        <v>374</v>
      </c>
      <c r="T17" s="196">
        <v>375</v>
      </c>
      <c r="U17" s="196">
        <v>380</v>
      </c>
      <c r="V17" s="196">
        <v>400</v>
      </c>
      <c r="W17" s="196">
        <v>393</v>
      </c>
      <c r="X17" s="196">
        <v>384</v>
      </c>
      <c r="Y17" s="196">
        <v>368</v>
      </c>
      <c r="Z17" s="196">
        <v>372</v>
      </c>
      <c r="AA17" s="196">
        <v>379</v>
      </c>
      <c r="AB17" s="196">
        <v>388</v>
      </c>
      <c r="AC17" s="196">
        <v>395</v>
      </c>
      <c r="AD17" s="196">
        <v>409</v>
      </c>
      <c r="AE17" s="196">
        <v>412</v>
      </c>
      <c r="AF17" s="196">
        <v>415</v>
      </c>
      <c r="AG17" s="196">
        <v>426</v>
      </c>
      <c r="AH17" s="196">
        <v>455</v>
      </c>
      <c r="AI17" s="196">
        <v>471</v>
      </c>
      <c r="AJ17" s="196">
        <v>485</v>
      </c>
      <c r="AK17" s="196">
        <v>506</v>
      </c>
      <c r="AL17" s="196">
        <v>531</v>
      </c>
      <c r="AM17" s="196">
        <v>554</v>
      </c>
      <c r="AN17" s="196">
        <v>561</v>
      </c>
      <c r="AO17" s="196">
        <v>555</v>
      </c>
      <c r="AP17" s="196">
        <v>533</v>
      </c>
      <c r="AQ17" s="196">
        <v>520</v>
      </c>
      <c r="AR17" s="196">
        <v>524</v>
      </c>
      <c r="AS17" s="200">
        <v>514</v>
      </c>
    </row>
    <row r="18" spans="1:121" s="228" customFormat="1" ht="15" customHeight="1" x14ac:dyDescent="0.2">
      <c r="A18" s="226" t="s">
        <v>523</v>
      </c>
      <c r="B18" s="227">
        <v>385</v>
      </c>
      <c r="C18" s="227">
        <v>380</v>
      </c>
      <c r="D18" s="227">
        <v>382</v>
      </c>
      <c r="E18" s="227">
        <v>386</v>
      </c>
      <c r="F18" s="227">
        <v>388</v>
      </c>
      <c r="G18" s="237">
        <v>403</v>
      </c>
      <c r="H18" s="237">
        <v>414</v>
      </c>
      <c r="I18" s="237">
        <v>413</v>
      </c>
      <c r="J18" s="196">
        <v>434</v>
      </c>
      <c r="K18" s="227">
        <v>452</v>
      </c>
      <c r="L18" s="227">
        <v>440</v>
      </c>
      <c r="M18" s="227">
        <v>436</v>
      </c>
      <c r="N18" s="196">
        <v>454</v>
      </c>
      <c r="O18" s="196">
        <v>469</v>
      </c>
      <c r="P18" s="196">
        <v>487</v>
      </c>
      <c r="Q18" s="196">
        <v>488</v>
      </c>
      <c r="R18" s="196">
        <v>505</v>
      </c>
      <c r="S18" s="196">
        <v>528</v>
      </c>
      <c r="T18" s="196">
        <v>529</v>
      </c>
      <c r="U18" s="196">
        <v>559</v>
      </c>
      <c r="V18" s="196">
        <v>510</v>
      </c>
      <c r="W18" s="196">
        <v>515</v>
      </c>
      <c r="X18" s="196">
        <v>541</v>
      </c>
      <c r="Y18" s="196">
        <v>540</v>
      </c>
      <c r="Z18" s="196">
        <v>556</v>
      </c>
      <c r="AA18" s="196">
        <v>584</v>
      </c>
      <c r="AB18" s="196">
        <f>403+159+56+6</f>
        <v>624</v>
      </c>
      <c r="AC18" s="196">
        <v>600</v>
      </c>
      <c r="AD18" s="196">
        <f>430+157+52+5</f>
        <v>644</v>
      </c>
      <c r="AE18" s="196">
        <v>657</v>
      </c>
      <c r="AF18" s="196">
        <v>660</v>
      </c>
      <c r="AG18" s="196">
        <v>631</v>
      </c>
      <c r="AH18" s="196">
        <f>468+156+59+4</f>
        <v>687</v>
      </c>
      <c r="AI18" s="196">
        <f>503+173+55+5</f>
        <v>736</v>
      </c>
      <c r="AJ18" s="196">
        <v>729</v>
      </c>
      <c r="AK18" s="196">
        <v>721</v>
      </c>
      <c r="AL18" s="196">
        <v>765</v>
      </c>
      <c r="AM18" s="196">
        <v>782</v>
      </c>
      <c r="AN18" s="196">
        <f>554+194+58+6</f>
        <v>812</v>
      </c>
      <c r="AO18" s="196">
        <v>867</v>
      </c>
      <c r="AP18" s="196">
        <v>925</v>
      </c>
      <c r="AQ18" s="196">
        <f>641+243+56+10</f>
        <v>950</v>
      </c>
      <c r="AR18" s="196">
        <v>912</v>
      </c>
      <c r="AS18" s="200">
        <f>598+233+56+22</f>
        <v>909</v>
      </c>
    </row>
    <row r="19" spans="1:121" s="228" customFormat="1" ht="15" customHeight="1" x14ac:dyDescent="0.2">
      <c r="A19" s="226" t="s">
        <v>524</v>
      </c>
      <c r="B19" s="227">
        <v>2827</v>
      </c>
      <c r="C19" s="227">
        <v>3015</v>
      </c>
      <c r="D19" s="227">
        <v>3330</v>
      </c>
      <c r="E19" s="227">
        <v>3372</v>
      </c>
      <c r="F19" s="227">
        <v>3371</v>
      </c>
      <c r="G19" s="237">
        <v>3499</v>
      </c>
      <c r="H19" s="237">
        <v>3558</v>
      </c>
      <c r="I19" s="237">
        <v>3622</v>
      </c>
      <c r="J19" s="196">
        <v>3699</v>
      </c>
      <c r="K19" s="227">
        <v>3131</v>
      </c>
      <c r="L19" s="227">
        <v>3199</v>
      </c>
      <c r="M19" s="227">
        <v>3208</v>
      </c>
      <c r="N19" s="196">
        <v>3237</v>
      </c>
      <c r="O19" s="196">
        <v>3010</v>
      </c>
      <c r="P19" s="196">
        <v>3029</v>
      </c>
      <c r="Q19" s="196">
        <v>3092</v>
      </c>
      <c r="R19" s="196">
        <v>3100</v>
      </c>
      <c r="S19" s="196">
        <v>3262</v>
      </c>
      <c r="T19" s="196">
        <v>3261</v>
      </c>
      <c r="U19" s="196">
        <v>3224</v>
      </c>
      <c r="V19" s="196">
        <v>3681</v>
      </c>
      <c r="W19" s="196">
        <v>3815</v>
      </c>
      <c r="X19" s="196">
        <v>4478</v>
      </c>
      <c r="Y19" s="196">
        <v>4563</v>
      </c>
      <c r="Z19" s="196">
        <v>4138</v>
      </c>
      <c r="AA19" s="196">
        <f>4472+1</f>
        <v>4473</v>
      </c>
      <c r="AB19" s="196">
        <f>2635+1585+81+1</f>
        <v>4302</v>
      </c>
      <c r="AC19" s="196">
        <v>5193</v>
      </c>
      <c r="AD19" s="196">
        <f>1891+3253+4+86</f>
        <v>5234</v>
      </c>
      <c r="AE19" s="196">
        <v>4837</v>
      </c>
      <c r="AF19" s="196">
        <v>4759</v>
      </c>
      <c r="AG19" s="196">
        <v>3477</v>
      </c>
      <c r="AH19" s="196">
        <f>1834+1558+7+98</f>
        <v>3497</v>
      </c>
      <c r="AI19" s="196">
        <f>1838+1643+3+95</f>
        <v>3579</v>
      </c>
      <c r="AJ19" s="196">
        <v>3260</v>
      </c>
      <c r="AK19" s="196">
        <v>3249</v>
      </c>
      <c r="AL19" s="196">
        <v>3328</v>
      </c>
      <c r="AM19" s="196">
        <v>3477</v>
      </c>
      <c r="AN19" s="196">
        <f>2055+2177+21+96</f>
        <v>4349</v>
      </c>
      <c r="AO19" s="196">
        <v>4577</v>
      </c>
      <c r="AP19" s="196">
        <v>4587</v>
      </c>
      <c r="AQ19" s="196">
        <f>2002+2589+4+112</f>
        <v>4707</v>
      </c>
      <c r="AR19" s="196">
        <v>4761</v>
      </c>
      <c r="AS19" s="200">
        <f>1999+2519+0+104</f>
        <v>4622</v>
      </c>
    </row>
    <row r="20" spans="1:121" s="92" customFormat="1" ht="5.0999999999999996" customHeight="1" x14ac:dyDescent="0.2">
      <c r="A20" s="226"/>
      <c r="B20" s="227"/>
      <c r="C20" s="227"/>
      <c r="D20" s="227"/>
      <c r="E20" s="227"/>
      <c r="F20" s="227"/>
      <c r="G20" s="227"/>
      <c r="H20" s="247"/>
      <c r="I20" s="247"/>
      <c r="J20" s="196"/>
      <c r="K20" s="227"/>
      <c r="L20" s="227"/>
      <c r="M20" s="227"/>
      <c r="N20" s="196"/>
      <c r="O20" s="196"/>
      <c r="P20" s="196"/>
      <c r="Q20" s="196"/>
      <c r="R20" s="196"/>
      <c r="S20" s="196"/>
      <c r="T20" s="196"/>
      <c r="U20" s="196"/>
      <c r="V20" s="196"/>
      <c r="W20" s="196"/>
      <c r="X20" s="196"/>
      <c r="Y20" s="196"/>
      <c r="Z20" s="196"/>
      <c r="AA20" s="196"/>
      <c r="AB20" s="196"/>
      <c r="AC20" s="196"/>
      <c r="AD20" s="196"/>
      <c r="AE20" s="196"/>
      <c r="AF20" s="196"/>
      <c r="AG20" s="196"/>
      <c r="AH20" s="196"/>
      <c r="AI20" s="196"/>
      <c r="AJ20" s="196"/>
      <c r="AK20" s="196"/>
      <c r="AL20" s="196"/>
      <c r="AM20" s="196"/>
      <c r="AN20" s="196"/>
      <c r="AO20" s="196"/>
      <c r="AP20" s="196"/>
      <c r="AQ20" s="196"/>
      <c r="AR20" s="196"/>
      <c r="AS20" s="196"/>
    </row>
    <row r="21" spans="1:121" s="178" customFormat="1" ht="15" customHeight="1" thickBot="1" x14ac:dyDescent="0.25">
      <c r="A21" s="175" t="s">
        <v>10</v>
      </c>
      <c r="B21" s="176">
        <f t="shared" ref="B21:AL21" si="0">SUM(B10:B20)</f>
        <v>50653</v>
      </c>
      <c r="C21" s="176">
        <f t="shared" si="0"/>
        <v>52900</v>
      </c>
      <c r="D21" s="176">
        <f t="shared" si="0"/>
        <v>55319</v>
      </c>
      <c r="E21" s="176">
        <f t="shared" si="0"/>
        <v>58526</v>
      </c>
      <c r="F21" s="176">
        <f t="shared" si="0"/>
        <v>59722</v>
      </c>
      <c r="G21" s="176">
        <f t="shared" si="0"/>
        <v>62068</v>
      </c>
      <c r="H21" s="176">
        <f t="shared" si="0"/>
        <v>62888</v>
      </c>
      <c r="I21" s="176">
        <f t="shared" si="0"/>
        <v>64587</v>
      </c>
      <c r="J21" s="176">
        <f t="shared" si="0"/>
        <v>66673</v>
      </c>
      <c r="K21" s="176">
        <f t="shared" si="0"/>
        <v>68829</v>
      </c>
      <c r="L21" s="176">
        <f t="shared" si="0"/>
        <v>71401</v>
      </c>
      <c r="M21" s="176">
        <f t="shared" si="0"/>
        <v>75572</v>
      </c>
      <c r="N21" s="176">
        <f t="shared" si="0"/>
        <v>77685</v>
      </c>
      <c r="O21" s="176">
        <f t="shared" si="0"/>
        <v>79308</v>
      </c>
      <c r="P21" s="176">
        <f t="shared" si="0"/>
        <v>82363</v>
      </c>
      <c r="Q21" s="176">
        <f t="shared" si="0"/>
        <v>87177</v>
      </c>
      <c r="R21" s="176">
        <f t="shared" si="0"/>
        <v>89980</v>
      </c>
      <c r="S21" s="176">
        <f t="shared" si="0"/>
        <v>93938</v>
      </c>
      <c r="T21" s="176">
        <f t="shared" si="0"/>
        <v>97099</v>
      </c>
      <c r="U21" s="176">
        <f t="shared" si="0"/>
        <v>103653</v>
      </c>
      <c r="V21" s="176">
        <f t="shared" si="0"/>
        <v>106953</v>
      </c>
      <c r="W21" s="176">
        <f t="shared" si="0"/>
        <v>111789</v>
      </c>
      <c r="X21" s="176">
        <f t="shared" si="0"/>
        <v>117808</v>
      </c>
      <c r="Y21" s="176">
        <f t="shared" si="0"/>
        <v>124217</v>
      </c>
      <c r="Z21" s="176">
        <f t="shared" si="0"/>
        <v>127367</v>
      </c>
      <c r="AA21" s="176">
        <f t="shared" si="0"/>
        <v>131819</v>
      </c>
      <c r="AB21" s="176">
        <f t="shared" si="0"/>
        <v>133554</v>
      </c>
      <c r="AC21" s="176">
        <f t="shared" si="0"/>
        <v>136229</v>
      </c>
      <c r="AD21" s="176">
        <f t="shared" si="0"/>
        <v>137751</v>
      </c>
      <c r="AE21" s="176">
        <f t="shared" si="0"/>
        <v>142732</v>
      </c>
      <c r="AF21" s="176">
        <f t="shared" si="0"/>
        <v>145969</v>
      </c>
      <c r="AG21" s="176">
        <f t="shared" si="0"/>
        <v>153267</v>
      </c>
      <c r="AH21" s="176">
        <f t="shared" si="0"/>
        <v>157295</v>
      </c>
      <c r="AI21" s="176">
        <f t="shared" si="0"/>
        <v>164566</v>
      </c>
      <c r="AJ21" s="176">
        <f t="shared" si="0"/>
        <v>168629</v>
      </c>
      <c r="AK21" s="176">
        <f t="shared" si="0"/>
        <v>177834</v>
      </c>
      <c r="AL21" s="176">
        <f t="shared" si="0"/>
        <v>182973</v>
      </c>
      <c r="AM21" s="176">
        <f t="shared" ref="AM21:AR21" si="1">SUM(AM10:AM20)</f>
        <v>190649</v>
      </c>
      <c r="AN21" s="176">
        <f t="shared" si="1"/>
        <v>213608</v>
      </c>
      <c r="AO21" s="176">
        <f t="shared" si="1"/>
        <v>223342</v>
      </c>
      <c r="AP21" s="176">
        <f t="shared" si="1"/>
        <v>229433</v>
      </c>
      <c r="AQ21" s="176">
        <f t="shared" si="1"/>
        <v>233640</v>
      </c>
      <c r="AR21" s="176">
        <f t="shared" si="1"/>
        <v>239287</v>
      </c>
      <c r="AS21" s="375">
        <f t="shared" ref="AS21" si="2">SUM(AS10:AS20)</f>
        <v>246653</v>
      </c>
      <c r="AT21" s="193"/>
      <c r="AU21" s="193"/>
      <c r="AV21" s="193"/>
      <c r="AW21" s="193"/>
      <c r="AX21" s="193"/>
      <c r="AY21" s="193"/>
      <c r="AZ21" s="193"/>
      <c r="BA21" s="193"/>
      <c r="BB21" s="193"/>
      <c r="BC21" s="193"/>
      <c r="BD21" s="193"/>
      <c r="BE21" s="193"/>
      <c r="BF21" s="193"/>
      <c r="BG21" s="193"/>
      <c r="BH21" s="193"/>
      <c r="BI21" s="193"/>
      <c r="BJ21" s="193"/>
      <c r="BK21" s="193"/>
      <c r="BL21" s="193"/>
      <c r="BM21" s="193"/>
      <c r="BN21" s="193"/>
      <c r="BO21" s="193"/>
      <c r="BP21" s="193"/>
      <c r="BQ21" s="193"/>
      <c r="BR21" s="193"/>
      <c r="BS21" s="193"/>
      <c r="BT21" s="193"/>
      <c r="BU21" s="193"/>
      <c r="BV21" s="193"/>
      <c r="BW21" s="193"/>
      <c r="BX21" s="193"/>
      <c r="BY21" s="193"/>
      <c r="BZ21" s="193"/>
      <c r="CA21" s="193"/>
      <c r="CB21" s="193"/>
      <c r="CC21" s="193"/>
      <c r="CD21" s="193"/>
      <c r="CE21" s="193"/>
      <c r="CF21" s="193"/>
      <c r="CG21" s="193"/>
      <c r="CH21" s="193"/>
      <c r="CI21" s="193"/>
      <c r="CJ21" s="193"/>
      <c r="CK21" s="193"/>
      <c r="CL21" s="193"/>
      <c r="CM21" s="193"/>
      <c r="CN21" s="193"/>
      <c r="CO21" s="193"/>
      <c r="CP21" s="193"/>
      <c r="CQ21" s="193"/>
      <c r="CR21" s="193"/>
      <c r="CS21" s="193"/>
      <c r="CT21" s="193"/>
      <c r="CU21" s="193"/>
      <c r="CV21" s="193"/>
      <c r="CW21" s="193"/>
      <c r="CX21" s="193"/>
      <c r="CY21" s="193"/>
      <c r="CZ21" s="193"/>
      <c r="DA21" s="193"/>
      <c r="DB21" s="193"/>
      <c r="DC21" s="193"/>
      <c r="DD21" s="193"/>
      <c r="DE21" s="193"/>
      <c r="DF21" s="193"/>
      <c r="DG21" s="193"/>
      <c r="DH21" s="193"/>
      <c r="DI21" s="193"/>
      <c r="DJ21" s="193"/>
      <c r="DK21" s="193"/>
      <c r="DL21" s="193"/>
      <c r="DM21" s="193"/>
      <c r="DN21" s="193"/>
      <c r="DO21" s="193"/>
      <c r="DP21" s="193"/>
      <c r="DQ21" s="193"/>
    </row>
    <row r="22" spans="1:121" s="92" customFormat="1" ht="15" customHeight="1" thickTop="1" x14ac:dyDescent="0.2">
      <c r="J22" s="93"/>
      <c r="K22" s="93"/>
      <c r="L22" s="93"/>
      <c r="M22" s="93"/>
      <c r="AH22" s="94"/>
      <c r="AI22" s="94"/>
      <c r="AJ22" s="94"/>
      <c r="AK22" s="94"/>
      <c r="AL22" s="94"/>
      <c r="AM22" s="94"/>
    </row>
    <row r="23" spans="1:121" s="92" customFormat="1" ht="12" x14ac:dyDescent="0.2">
      <c r="A23" s="94"/>
      <c r="B23" s="95"/>
      <c r="C23" s="95"/>
      <c r="D23" s="95"/>
      <c r="E23" s="95"/>
      <c r="F23" s="95"/>
      <c r="G23" s="95"/>
      <c r="H23" s="95"/>
      <c r="I23" s="95"/>
      <c r="J23" s="96"/>
      <c r="K23" s="96"/>
      <c r="L23" s="96"/>
      <c r="M23" s="96"/>
      <c r="N23" s="95"/>
      <c r="O23" s="95"/>
      <c r="P23" s="95"/>
      <c r="Q23" s="95"/>
      <c r="R23" s="95"/>
      <c r="S23" s="95"/>
      <c r="T23" s="95"/>
      <c r="U23" s="95"/>
      <c r="V23" s="95"/>
      <c r="W23" s="95"/>
      <c r="X23" s="95"/>
      <c r="Y23" s="95"/>
      <c r="Z23" s="95"/>
      <c r="AA23" s="95"/>
      <c r="AB23" s="95"/>
      <c r="AC23" s="95"/>
      <c r="AD23" s="95"/>
      <c r="AE23" s="95"/>
      <c r="AF23" s="95"/>
      <c r="AG23" s="95"/>
      <c r="AH23" s="94"/>
      <c r="AI23" s="94"/>
      <c r="AJ23" s="94"/>
      <c r="AK23" s="94"/>
      <c r="AL23" s="94"/>
      <c r="AM23" s="94"/>
    </row>
    <row r="24" spans="1:121" s="92" customFormat="1" ht="15" customHeight="1" x14ac:dyDescent="0.2">
      <c r="J24" s="93"/>
      <c r="K24" s="93"/>
      <c r="L24" s="93"/>
      <c r="M24" s="93"/>
      <c r="AH24" s="94"/>
      <c r="AI24" s="94"/>
      <c r="AJ24" s="94"/>
      <c r="AK24" s="94"/>
      <c r="AL24" s="94"/>
      <c r="AM24" s="94"/>
    </row>
    <row r="25" spans="1:121" s="92" customFormat="1" ht="15" customHeight="1" x14ac:dyDescent="0.2">
      <c r="J25" s="93"/>
      <c r="K25" s="93"/>
      <c r="L25" s="93"/>
      <c r="M25" s="93"/>
      <c r="AF25" s="100"/>
      <c r="AH25" s="94"/>
      <c r="AI25" s="94"/>
      <c r="AJ25" s="94"/>
      <c r="AK25" s="94"/>
      <c r="AL25" s="94"/>
      <c r="AM25" s="94"/>
      <c r="AN25" s="100"/>
      <c r="AO25" s="100"/>
      <c r="AP25" s="100"/>
      <c r="AQ25" s="100"/>
      <c r="AR25" s="100"/>
      <c r="AS25" s="100"/>
    </row>
    <row r="26" spans="1:121" s="92" customFormat="1" ht="15" customHeight="1" x14ac:dyDescent="0.25">
      <c r="A26" s="731"/>
      <c r="B26" s="732"/>
      <c r="C26" s="732" t="s">
        <v>34</v>
      </c>
      <c r="D26" s="732"/>
      <c r="E26" s="732"/>
      <c r="F26" s="732"/>
      <c r="G26" s="732"/>
      <c r="H26" s="732"/>
      <c r="I26" s="732"/>
      <c r="J26" s="732"/>
      <c r="K26" s="732"/>
      <c r="L26" s="732"/>
      <c r="M26" s="732"/>
    </row>
    <row r="27" spans="1:121" s="92" customFormat="1" ht="15" customHeight="1" x14ac:dyDescent="0.2">
      <c r="J27" s="93"/>
      <c r="K27" s="93"/>
      <c r="L27" s="93"/>
      <c r="M27" s="93"/>
    </row>
    <row r="28" spans="1:121" s="90" customFormat="1" ht="15" customHeight="1" x14ac:dyDescent="0.2">
      <c r="J28" s="91"/>
      <c r="K28" s="91"/>
      <c r="L28" s="91"/>
      <c r="M28" s="91"/>
    </row>
    <row r="29" spans="1:121" s="90" customFormat="1" ht="15" customHeight="1" x14ac:dyDescent="0.2">
      <c r="J29" s="91"/>
      <c r="K29" s="91"/>
      <c r="L29" s="91"/>
      <c r="M29" s="91"/>
    </row>
    <row r="30" spans="1:121" s="90" customFormat="1" ht="15" customHeight="1" x14ac:dyDescent="0.2">
      <c r="J30" s="91"/>
      <c r="K30" s="91"/>
      <c r="L30" s="91"/>
      <c r="M30" s="91"/>
    </row>
    <row r="31" spans="1:121" s="90" customFormat="1" ht="15" customHeight="1" x14ac:dyDescent="0.2">
      <c r="J31" s="91"/>
      <c r="K31" s="91"/>
      <c r="L31" s="91"/>
      <c r="M31" s="91"/>
    </row>
    <row r="32" spans="1:121" s="90" customFormat="1" ht="15" customHeight="1" x14ac:dyDescent="0.2">
      <c r="J32" s="91"/>
      <c r="K32" s="91"/>
      <c r="L32" s="91"/>
      <c r="M32" s="91"/>
    </row>
    <row r="33" spans="10:29" s="90" customFormat="1" ht="15" customHeight="1" x14ac:dyDescent="0.2">
      <c r="J33" s="91"/>
      <c r="K33" s="91"/>
      <c r="L33" s="91"/>
      <c r="M33" s="91"/>
    </row>
    <row r="34" spans="10:29" s="90" customFormat="1" ht="15" customHeight="1" x14ac:dyDescent="0.2">
      <c r="J34" s="91"/>
      <c r="K34" s="91"/>
      <c r="L34" s="91"/>
      <c r="M34" s="91"/>
    </row>
    <row r="35" spans="10:29" s="90" customFormat="1" ht="15" customHeight="1" x14ac:dyDescent="0.2">
      <c r="J35" s="91"/>
      <c r="K35" s="91"/>
      <c r="L35" s="91"/>
      <c r="M35" s="91"/>
    </row>
    <row r="36" spans="10:29" s="90" customFormat="1" ht="15" customHeight="1" x14ac:dyDescent="0.2">
      <c r="J36" s="91"/>
      <c r="K36" s="91"/>
      <c r="L36" s="91"/>
      <c r="M36" s="91"/>
    </row>
    <row r="37" spans="10:29" s="90" customFormat="1" ht="15" customHeight="1" x14ac:dyDescent="0.2">
      <c r="J37" s="91"/>
      <c r="K37" s="91"/>
      <c r="L37" s="91"/>
      <c r="M37" s="91"/>
    </row>
    <row r="38" spans="10:29" s="90" customFormat="1" ht="15" customHeight="1" x14ac:dyDescent="0.2">
      <c r="J38" s="91"/>
      <c r="K38" s="91"/>
      <c r="L38" s="91"/>
      <c r="M38" s="91"/>
    </row>
    <row r="39" spans="10:29" s="90" customFormat="1" ht="15" customHeight="1" x14ac:dyDescent="0.2">
      <c r="J39" s="91"/>
      <c r="K39" s="91"/>
      <c r="L39" s="91"/>
      <c r="M39" s="91"/>
    </row>
    <row r="40" spans="10:29" s="90" customFormat="1" ht="15" customHeight="1" x14ac:dyDescent="0.2">
      <c r="J40" s="91"/>
      <c r="K40" s="91"/>
      <c r="L40" s="91"/>
      <c r="M40" s="91"/>
    </row>
    <row r="41" spans="10:29" s="90" customFormat="1" ht="15" customHeight="1" x14ac:dyDescent="0.2">
      <c r="J41" s="91"/>
      <c r="K41" s="91"/>
      <c r="L41" s="91"/>
      <c r="M41" s="91"/>
    </row>
    <row r="42" spans="10:29" s="90" customFormat="1" ht="15" customHeight="1" x14ac:dyDescent="0.2">
      <c r="J42" s="91"/>
      <c r="K42" s="91"/>
      <c r="L42" s="91"/>
      <c r="M42" s="91"/>
    </row>
    <row r="43" spans="10:29" s="90" customFormat="1" ht="15" customHeight="1" x14ac:dyDescent="0.2">
      <c r="Z43" s="91"/>
      <c r="AA43" s="91"/>
      <c r="AB43" s="91"/>
      <c r="AC43" s="91"/>
    </row>
    <row r="44" spans="10:29" s="90" customFormat="1" ht="15" customHeight="1" x14ac:dyDescent="0.2">
      <c r="Z44" s="91"/>
      <c r="AA44" s="91"/>
      <c r="AB44" s="91"/>
      <c r="AC44" s="91"/>
    </row>
    <row r="45" spans="10:29" s="90" customFormat="1" ht="15" customHeight="1" x14ac:dyDescent="0.2">
      <c r="Z45" s="91"/>
      <c r="AA45" s="91"/>
      <c r="AB45" s="91"/>
      <c r="AC45" s="91"/>
    </row>
    <row r="46" spans="10:29" s="90" customFormat="1" ht="15" customHeight="1" x14ac:dyDescent="0.2">
      <c r="Z46" s="91"/>
      <c r="AA46" s="91"/>
      <c r="AB46" s="91"/>
      <c r="AC46" s="91"/>
    </row>
    <row r="47" spans="10:29" s="90" customFormat="1" ht="15" customHeight="1" x14ac:dyDescent="0.2">
      <c r="Z47" s="91"/>
      <c r="AA47" s="91"/>
      <c r="AB47" s="91"/>
      <c r="AC47" s="91"/>
    </row>
    <row r="48" spans="10:29" s="90" customFormat="1" ht="15" customHeight="1" x14ac:dyDescent="0.2">
      <c r="Z48" s="91"/>
      <c r="AA48" s="91"/>
      <c r="AB48" s="91"/>
      <c r="AC48" s="91"/>
    </row>
    <row r="49" spans="26:29" s="90" customFormat="1" ht="15" customHeight="1" x14ac:dyDescent="0.2">
      <c r="Z49" s="91"/>
      <c r="AA49" s="91"/>
      <c r="AB49" s="91"/>
      <c r="AC49" s="91"/>
    </row>
    <row r="50" spans="26:29" s="90" customFormat="1" ht="15" customHeight="1" x14ac:dyDescent="0.2">
      <c r="Z50" s="91"/>
      <c r="AA50" s="91"/>
      <c r="AB50" s="91"/>
      <c r="AC50" s="91"/>
    </row>
    <row r="51" spans="26:29" s="90" customFormat="1" ht="15" customHeight="1" x14ac:dyDescent="0.2">
      <c r="Z51" s="91"/>
      <c r="AA51" s="91"/>
      <c r="AB51" s="91"/>
      <c r="AC51" s="91"/>
    </row>
    <row r="52" spans="26:29" s="90" customFormat="1" ht="15" customHeight="1" x14ac:dyDescent="0.2">
      <c r="Z52" s="91"/>
      <c r="AA52" s="91"/>
      <c r="AB52" s="91"/>
      <c r="AC52" s="91"/>
    </row>
    <row r="53" spans="26:29" s="90" customFormat="1" ht="15" customHeight="1" x14ac:dyDescent="0.2">
      <c r="Z53" s="91"/>
      <c r="AA53" s="91"/>
      <c r="AB53" s="91"/>
      <c r="AC53" s="91"/>
    </row>
    <row r="54" spans="26:29" s="90" customFormat="1" ht="15" customHeight="1" x14ac:dyDescent="0.2">
      <c r="Z54" s="91"/>
      <c r="AA54" s="91"/>
      <c r="AB54" s="91"/>
      <c r="AC54" s="91"/>
    </row>
    <row r="55" spans="26:29" s="90" customFormat="1" ht="15" customHeight="1" x14ac:dyDescent="0.2">
      <c r="Z55" s="91"/>
      <c r="AA55" s="91"/>
      <c r="AB55" s="91"/>
      <c r="AC55" s="91"/>
    </row>
    <row r="56" spans="26:29" s="90" customFormat="1" ht="15" customHeight="1" x14ac:dyDescent="0.2">
      <c r="Z56" s="91"/>
      <c r="AA56" s="91"/>
      <c r="AB56" s="91"/>
      <c r="AC56" s="91"/>
    </row>
    <row r="57" spans="26:29" s="90" customFormat="1" ht="15" customHeight="1" x14ac:dyDescent="0.2">
      <c r="Z57" s="91"/>
      <c r="AA57" s="91"/>
      <c r="AB57" s="91"/>
      <c r="AC57" s="91"/>
    </row>
    <row r="58" spans="26:29" s="90" customFormat="1" ht="15" customHeight="1" x14ac:dyDescent="0.2">
      <c r="Z58" s="91"/>
      <c r="AA58" s="91"/>
      <c r="AB58" s="91"/>
      <c r="AC58" s="91"/>
    </row>
    <row r="59" spans="26:29" s="90" customFormat="1" ht="15" customHeight="1" x14ac:dyDescent="0.2">
      <c r="Z59" s="91"/>
      <c r="AA59" s="91"/>
      <c r="AB59" s="91"/>
      <c r="AC59" s="91"/>
    </row>
    <row r="60" spans="26:29" s="90" customFormat="1" ht="15" customHeight="1" x14ac:dyDescent="0.2">
      <c r="Z60" s="91"/>
      <c r="AA60" s="91"/>
      <c r="AB60" s="91"/>
      <c r="AC60" s="91"/>
    </row>
    <row r="61" spans="26:29" s="90" customFormat="1" ht="15" customHeight="1" x14ac:dyDescent="0.2">
      <c r="Z61" s="91"/>
      <c r="AA61" s="91"/>
      <c r="AB61" s="91"/>
      <c r="AC61" s="91"/>
    </row>
    <row r="62" spans="26:29" s="90" customFormat="1" ht="15" customHeight="1" x14ac:dyDescent="0.2">
      <c r="Z62" s="91"/>
      <c r="AA62" s="91"/>
      <c r="AB62" s="91"/>
      <c r="AC62" s="91"/>
    </row>
    <row r="63" spans="26:29" s="90" customFormat="1" ht="15" customHeight="1" x14ac:dyDescent="0.2">
      <c r="Z63" s="91"/>
      <c r="AA63" s="91"/>
      <c r="AB63" s="91"/>
      <c r="AC63" s="91"/>
    </row>
    <row r="64" spans="26:29" s="90" customFormat="1" ht="15" customHeight="1" x14ac:dyDescent="0.2">
      <c r="Z64" s="91"/>
      <c r="AA64" s="91"/>
      <c r="AB64" s="91"/>
      <c r="AC64" s="91"/>
    </row>
    <row r="65" spans="26:29" s="90" customFormat="1" ht="15" customHeight="1" x14ac:dyDescent="0.2">
      <c r="Z65" s="91"/>
      <c r="AA65" s="91"/>
      <c r="AB65" s="91"/>
      <c r="AC65" s="91"/>
    </row>
    <row r="66" spans="26:29" s="90" customFormat="1" ht="15" customHeight="1" x14ac:dyDescent="0.2">
      <c r="Z66" s="91"/>
      <c r="AA66" s="91"/>
      <c r="AB66" s="91"/>
      <c r="AC66" s="91"/>
    </row>
    <row r="67" spans="26:29" s="90" customFormat="1" ht="15" customHeight="1" x14ac:dyDescent="0.2">
      <c r="Z67" s="91"/>
      <c r="AA67" s="91"/>
      <c r="AB67" s="91"/>
      <c r="AC67" s="91"/>
    </row>
    <row r="68" spans="26:29" s="90" customFormat="1" ht="15" customHeight="1" x14ac:dyDescent="0.2">
      <c r="Z68" s="91"/>
      <c r="AA68" s="91"/>
      <c r="AB68" s="91"/>
      <c r="AC68" s="91"/>
    </row>
    <row r="69" spans="26:29" s="90" customFormat="1" ht="15" customHeight="1" x14ac:dyDescent="0.2">
      <c r="Z69" s="91"/>
      <c r="AA69" s="91"/>
      <c r="AB69" s="91"/>
      <c r="AC69" s="91"/>
    </row>
    <row r="70" spans="26:29" s="90" customFormat="1" ht="15" customHeight="1" x14ac:dyDescent="0.2">
      <c r="Z70" s="91"/>
      <c r="AA70" s="91"/>
      <c r="AB70" s="91"/>
      <c r="AC70" s="91"/>
    </row>
    <row r="71" spans="26:29" s="90" customFormat="1" ht="15" customHeight="1" x14ac:dyDescent="0.2">
      <c r="Z71" s="91"/>
      <c r="AA71" s="91"/>
      <c r="AB71" s="91"/>
      <c r="AC71" s="91"/>
    </row>
    <row r="72" spans="26:29" s="90" customFormat="1" ht="15" customHeight="1" x14ac:dyDescent="0.2">
      <c r="Z72" s="91"/>
      <c r="AA72" s="91"/>
      <c r="AB72" s="91"/>
      <c r="AC72" s="91"/>
    </row>
    <row r="73" spans="26:29" s="90" customFormat="1" ht="15" customHeight="1" x14ac:dyDescent="0.2">
      <c r="Z73" s="91"/>
      <c r="AA73" s="91"/>
      <c r="AB73" s="91"/>
      <c r="AC73" s="91"/>
    </row>
    <row r="74" spans="26:29" s="90" customFormat="1" ht="15" customHeight="1" x14ac:dyDescent="0.2">
      <c r="Z74" s="91"/>
      <c r="AA74" s="91"/>
      <c r="AB74" s="91"/>
      <c r="AC74" s="91"/>
    </row>
    <row r="75" spans="26:29" s="90" customFormat="1" ht="15" customHeight="1" x14ac:dyDescent="0.2">
      <c r="Z75" s="91"/>
      <c r="AA75" s="91"/>
      <c r="AB75" s="91"/>
      <c r="AC75" s="91"/>
    </row>
    <row r="76" spans="26:29" s="90" customFormat="1" ht="15" customHeight="1" x14ac:dyDescent="0.2">
      <c r="Z76" s="91"/>
      <c r="AA76" s="91"/>
      <c r="AB76" s="91"/>
      <c r="AC76" s="91"/>
    </row>
    <row r="77" spans="26:29" s="90" customFormat="1" ht="15" customHeight="1" x14ac:dyDescent="0.2">
      <c r="Z77" s="91"/>
      <c r="AA77" s="91"/>
      <c r="AB77" s="91"/>
      <c r="AC77" s="91"/>
    </row>
    <row r="78" spans="26:29" s="90" customFormat="1" ht="15" customHeight="1" x14ac:dyDescent="0.2">
      <c r="Z78" s="91"/>
      <c r="AA78" s="91"/>
      <c r="AB78" s="91"/>
      <c r="AC78" s="91"/>
    </row>
    <row r="79" spans="26:29" s="90" customFormat="1" ht="15" customHeight="1" x14ac:dyDescent="0.2">
      <c r="Z79" s="91"/>
      <c r="AA79" s="91"/>
      <c r="AB79" s="91"/>
      <c r="AC79" s="91"/>
    </row>
    <row r="80" spans="26:29" s="90" customFormat="1" ht="15" customHeight="1" x14ac:dyDescent="0.2">
      <c r="Z80" s="91"/>
      <c r="AA80" s="91"/>
      <c r="AB80" s="91"/>
      <c r="AC80" s="91"/>
    </row>
    <row r="81" spans="26:29" s="90" customFormat="1" ht="15" customHeight="1" x14ac:dyDescent="0.2">
      <c r="Z81" s="91"/>
      <c r="AA81" s="91"/>
      <c r="AB81" s="91"/>
      <c r="AC81" s="91"/>
    </row>
    <row r="82" spans="26:29" s="90" customFormat="1" ht="15" customHeight="1" x14ac:dyDescent="0.2">
      <c r="Z82" s="91"/>
      <c r="AA82" s="91"/>
      <c r="AB82" s="91"/>
      <c r="AC82" s="91"/>
    </row>
    <row r="83" spans="26:29" s="90" customFormat="1" ht="15" customHeight="1" x14ac:dyDescent="0.2">
      <c r="Z83" s="91"/>
      <c r="AA83" s="91"/>
      <c r="AB83" s="91"/>
      <c r="AC83" s="91"/>
    </row>
    <row r="84" spans="26:29" s="90" customFormat="1" ht="15" customHeight="1" x14ac:dyDescent="0.2">
      <c r="Z84" s="91"/>
      <c r="AA84" s="91"/>
      <c r="AB84" s="91"/>
      <c r="AC84" s="91"/>
    </row>
    <row r="85" spans="26:29" s="90" customFormat="1" ht="15" customHeight="1" x14ac:dyDescent="0.2">
      <c r="Z85" s="91"/>
      <c r="AA85" s="91"/>
      <c r="AB85" s="91"/>
      <c r="AC85" s="91"/>
    </row>
    <row r="86" spans="26:29" s="90" customFormat="1" ht="15" customHeight="1" x14ac:dyDescent="0.2">
      <c r="Z86" s="91"/>
      <c r="AA86" s="91"/>
      <c r="AB86" s="91"/>
      <c r="AC86" s="91"/>
    </row>
    <row r="87" spans="26:29" s="90" customFormat="1" ht="15" customHeight="1" x14ac:dyDescent="0.2">
      <c r="Z87" s="91"/>
      <c r="AA87" s="91"/>
      <c r="AB87" s="91"/>
      <c r="AC87" s="91"/>
    </row>
    <row r="88" spans="26:29" s="90" customFormat="1" ht="15" customHeight="1" x14ac:dyDescent="0.2">
      <c r="Z88" s="91"/>
      <c r="AA88" s="91"/>
      <c r="AB88" s="91"/>
      <c r="AC88" s="91"/>
    </row>
    <row r="89" spans="26:29" s="90" customFormat="1" ht="15" customHeight="1" x14ac:dyDescent="0.2">
      <c r="Z89" s="91"/>
      <c r="AA89" s="91"/>
      <c r="AB89" s="91"/>
      <c r="AC89" s="91"/>
    </row>
    <row r="90" spans="26:29" s="90" customFormat="1" ht="15" customHeight="1" x14ac:dyDescent="0.2">
      <c r="Z90" s="91"/>
      <c r="AA90" s="91"/>
      <c r="AB90" s="91"/>
      <c r="AC90" s="91"/>
    </row>
    <row r="91" spans="26:29" s="90" customFormat="1" ht="15" customHeight="1" x14ac:dyDescent="0.2">
      <c r="Z91" s="91"/>
      <c r="AA91" s="91"/>
      <c r="AB91" s="91"/>
      <c r="AC91" s="91"/>
    </row>
    <row r="92" spans="26:29" s="90" customFormat="1" ht="15" customHeight="1" x14ac:dyDescent="0.2">
      <c r="Z92" s="91"/>
      <c r="AA92" s="91"/>
      <c r="AB92" s="91"/>
      <c r="AC92" s="91"/>
    </row>
    <row r="93" spans="26:29" s="90" customFormat="1" ht="15" customHeight="1" x14ac:dyDescent="0.2">
      <c r="Z93" s="91"/>
      <c r="AA93" s="91"/>
      <c r="AB93" s="91"/>
      <c r="AC93" s="91"/>
    </row>
    <row r="94" spans="26:29" s="90" customFormat="1" ht="15" customHeight="1" x14ac:dyDescent="0.2">
      <c r="Z94" s="91"/>
      <c r="AA94" s="91"/>
      <c r="AB94" s="91"/>
      <c r="AC94" s="91"/>
    </row>
    <row r="95" spans="26:29" s="90" customFormat="1" ht="15" customHeight="1" x14ac:dyDescent="0.2">
      <c r="Z95" s="91"/>
      <c r="AA95" s="91"/>
      <c r="AB95" s="91"/>
      <c r="AC95" s="91"/>
    </row>
    <row r="96" spans="26:29" s="90" customFormat="1" ht="15" customHeight="1" x14ac:dyDescent="0.2">
      <c r="Z96" s="91"/>
      <c r="AA96" s="91"/>
      <c r="AB96" s="91"/>
      <c r="AC96" s="91"/>
    </row>
    <row r="97" spans="26:29" s="90" customFormat="1" ht="15" customHeight="1" x14ac:dyDescent="0.2">
      <c r="Z97" s="91"/>
      <c r="AA97" s="91"/>
      <c r="AB97" s="91"/>
      <c r="AC97" s="91"/>
    </row>
    <row r="98" spans="26:29" s="90" customFormat="1" ht="15" customHeight="1" x14ac:dyDescent="0.2">
      <c r="Z98" s="91"/>
      <c r="AA98" s="91"/>
      <c r="AB98" s="91"/>
      <c r="AC98" s="91"/>
    </row>
    <row r="99" spans="26:29" s="90" customFormat="1" ht="15" customHeight="1" x14ac:dyDescent="0.2">
      <c r="Z99" s="91"/>
      <c r="AA99" s="91"/>
      <c r="AB99" s="91"/>
      <c r="AC99" s="91"/>
    </row>
    <row r="100" spans="26:29" s="90" customFormat="1" ht="15" customHeight="1" x14ac:dyDescent="0.2">
      <c r="Z100" s="91"/>
      <c r="AA100" s="91"/>
      <c r="AB100" s="91"/>
      <c r="AC100" s="91"/>
    </row>
    <row r="101" spans="26:29" s="90" customFormat="1" ht="15" customHeight="1" x14ac:dyDescent="0.2">
      <c r="Z101" s="91"/>
      <c r="AA101" s="91"/>
      <c r="AB101" s="91"/>
      <c r="AC101" s="91"/>
    </row>
    <row r="102" spans="26:29" s="90" customFormat="1" ht="15" customHeight="1" x14ac:dyDescent="0.2">
      <c r="Z102" s="91"/>
      <c r="AA102" s="91"/>
      <c r="AB102" s="91"/>
      <c r="AC102" s="91"/>
    </row>
    <row r="103" spans="26:29" s="90" customFormat="1" ht="15" customHeight="1" x14ac:dyDescent="0.2">
      <c r="Z103" s="91"/>
      <c r="AA103" s="91"/>
      <c r="AB103" s="91"/>
      <c r="AC103" s="91"/>
    </row>
    <row r="104" spans="26:29" s="90" customFormat="1" ht="15" customHeight="1" x14ac:dyDescent="0.2">
      <c r="Z104" s="91"/>
      <c r="AA104" s="91"/>
      <c r="AB104" s="91"/>
      <c r="AC104" s="91"/>
    </row>
    <row r="105" spans="26:29" s="90" customFormat="1" ht="15" customHeight="1" x14ac:dyDescent="0.2">
      <c r="Z105" s="91"/>
      <c r="AA105" s="91"/>
      <c r="AB105" s="91"/>
      <c r="AC105" s="91"/>
    </row>
    <row r="106" spans="26:29" s="90" customFormat="1" ht="15" customHeight="1" x14ac:dyDescent="0.2">
      <c r="Z106" s="91"/>
      <c r="AA106" s="91"/>
      <c r="AB106" s="91"/>
      <c r="AC106" s="91"/>
    </row>
    <row r="107" spans="26:29" s="90" customFormat="1" ht="15" customHeight="1" x14ac:dyDescent="0.2">
      <c r="Z107" s="91"/>
      <c r="AA107" s="91"/>
      <c r="AB107" s="91"/>
      <c r="AC107" s="91"/>
    </row>
    <row r="108" spans="26:29" s="90" customFormat="1" ht="15" customHeight="1" x14ac:dyDescent="0.2">
      <c r="Z108" s="91"/>
      <c r="AA108" s="91"/>
      <c r="AB108" s="91"/>
      <c r="AC108" s="91"/>
    </row>
    <row r="109" spans="26:29" s="90" customFormat="1" ht="15" customHeight="1" x14ac:dyDescent="0.2">
      <c r="Z109" s="91"/>
      <c r="AA109" s="91"/>
      <c r="AB109" s="91"/>
      <c r="AC109" s="91"/>
    </row>
    <row r="110" spans="26:29" s="90" customFormat="1" ht="15" customHeight="1" x14ac:dyDescent="0.2">
      <c r="Z110" s="91"/>
      <c r="AA110" s="91"/>
      <c r="AB110" s="91"/>
      <c r="AC110" s="91"/>
    </row>
    <row r="111" spans="26:29" s="90" customFormat="1" ht="15" customHeight="1" x14ac:dyDescent="0.2">
      <c r="Z111" s="91"/>
      <c r="AA111" s="91"/>
      <c r="AB111" s="91"/>
      <c r="AC111" s="91"/>
    </row>
    <row r="112" spans="26:29" s="90" customFormat="1" ht="15" customHeight="1" x14ac:dyDescent="0.2">
      <c r="Z112" s="91"/>
      <c r="AA112" s="91"/>
      <c r="AB112" s="91"/>
      <c r="AC112" s="91"/>
    </row>
    <row r="113" spans="26:29" s="90" customFormat="1" ht="15" customHeight="1" x14ac:dyDescent="0.2">
      <c r="Z113" s="91"/>
      <c r="AA113" s="91"/>
      <c r="AB113" s="91"/>
      <c r="AC113" s="91"/>
    </row>
  </sheetData>
  <customSheetViews>
    <customSheetView guid="{B7440494-8EA9-4463-9947-E5D20E74049D}" showGridLines="0">
      <pane xSplit="1" ySplit="9" topLeftCell="B10" activePane="bottomRight" state="frozen"/>
      <selection pane="bottomRight" activeCell="F4" sqref="F4:R4"/>
      <pageMargins left="0" right="0" top="0.78740157480314965" bottom="0" header="0" footer="0"/>
      <printOptions horizontalCentered="1"/>
      <pageSetup paperSize="9" fitToWidth="5" orientation="landscape" horizontalDpi="1200" verticalDpi="1200" r:id="rId1"/>
      <headerFooter alignWithMargins="0">
        <oddHeader>&amp;R&amp;P/&amp;N</oddHeader>
      </headerFooter>
    </customSheetView>
    <customSheetView guid="{6D89F6EF-F5AD-478F-979A-5AF1BC78EF91}" showGridLines="0">
      <pane xSplit="2" ySplit="9" topLeftCell="C10" activePane="bottomRight" state="frozen"/>
      <selection pane="bottomRight" activeCell="C10" sqref="C10:C21"/>
      <colBreaks count="3" manualBreakCount="3">
        <brk id="9" max="32" man="1"/>
        <brk id="25" max="32" man="1"/>
        <brk id="41" max="32" man="1"/>
      </colBreaks>
      <pageMargins left="0" right="0" top="1.1811023622047245" bottom="0" header="0" footer="0"/>
      <printOptions horizontalCentered="1" verticalCentered="1"/>
      <pageSetup paperSize="9" orientation="landscape" horizontalDpi="1200" verticalDpi="1200" r:id="rId2"/>
      <headerFooter alignWithMargins="0"/>
    </customSheetView>
    <customSheetView guid="{A9134056-6B1C-4A42-AFE9-9712EF3EF3D4}" showPageBreaks="1" showGridLines="0" printArea="1">
      <pane xSplit="2" ySplit="9" topLeftCell="C10" activePane="bottomRight" state="frozen"/>
      <selection pane="bottomRight" activeCell="C10" sqref="C10:C21"/>
      <colBreaks count="4" manualBreakCount="4">
        <brk id="9" max="32" man="1"/>
        <brk id="17" min="1" max="29" man="1"/>
        <brk id="25" max="32" man="1"/>
        <brk id="41" max="32" man="1"/>
      </colBreaks>
      <pageMargins left="0" right="0" top="1.1811023622047245" bottom="0" header="0" footer="0"/>
      <printOptions horizontalCentered="1" verticalCentered="1"/>
      <pageSetup paperSize="9" orientation="landscape" horizontalDpi="1200" verticalDpi="1200" r:id="rId3"/>
      <headerFooter alignWithMargins="0"/>
    </customSheetView>
  </customSheetViews>
  <mergeCells count="1">
    <mergeCell ref="A26:M26"/>
  </mergeCells>
  <hyperlinks>
    <hyperlink ref="AS6" location="Índex!E9" display="Índex"/>
  </hyperlinks>
  <printOptions horizontalCentered="1"/>
  <pageMargins left="0" right="0" top="0.39370078740157483" bottom="0" header="0" footer="0"/>
  <pageSetup paperSize="9" scale="85" orientation="landscape" horizontalDpi="1200" verticalDpi="1200" r:id="rId4"/>
  <headerFooter alignWithMargins="0">
    <oddHeader>&amp;R&amp;P/&amp;N</oddHeader>
  </headerFooter>
  <colBreaks count="5" manualBreakCount="5">
    <brk id="9" max="1048575" man="1"/>
    <brk id="17" max="21" man="1"/>
    <brk id="25" max="21" man="1"/>
    <brk id="33" max="21" man="1"/>
    <brk id="41" max="21" man="1"/>
  </colBreaks>
  <drawing r:id="rId5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01"/>
  <dimension ref="A2:CD105"/>
  <sheetViews>
    <sheetView showGridLines="0" zoomScaleNormal="100" workbookViewId="0">
      <pane xSplit="1" ySplit="8" topLeftCell="AO9" activePane="bottomRight" state="frozen"/>
      <selection activeCell="E9" sqref="E9"/>
      <selection pane="topRight" activeCell="E9" sqref="E9"/>
      <selection pane="bottomLeft" activeCell="E9" sqref="E9"/>
      <selection pane="bottomRight" activeCell="E9" sqref="E9"/>
    </sheetView>
  </sheetViews>
  <sheetFormatPr defaultColWidth="10.7109375" defaultRowHeight="15" customHeight="1" x14ac:dyDescent="0.2"/>
  <cols>
    <col min="1" max="1" width="45.7109375" style="228" customWidth="1"/>
    <col min="2" max="29" width="10.7109375" style="228" customWidth="1"/>
    <col min="30" max="30" width="10.7109375" style="257" customWidth="1"/>
    <col min="31" max="256" width="10.7109375" style="228"/>
    <col min="257" max="257" width="42.42578125" style="228" customWidth="1"/>
    <col min="258" max="286" width="10.7109375" style="228" customWidth="1"/>
    <col min="287" max="512" width="10.7109375" style="228"/>
    <col min="513" max="513" width="42.42578125" style="228" customWidth="1"/>
    <col min="514" max="542" width="10.7109375" style="228" customWidth="1"/>
    <col min="543" max="768" width="10.7109375" style="228"/>
    <col min="769" max="769" width="42.42578125" style="228" customWidth="1"/>
    <col min="770" max="798" width="10.7109375" style="228" customWidth="1"/>
    <col min="799" max="1024" width="10.7109375" style="228"/>
    <col min="1025" max="1025" width="42.42578125" style="228" customWidth="1"/>
    <col min="1026" max="1054" width="10.7109375" style="228" customWidth="1"/>
    <col min="1055" max="1280" width="10.7109375" style="228"/>
    <col min="1281" max="1281" width="42.42578125" style="228" customWidth="1"/>
    <col min="1282" max="1310" width="10.7109375" style="228" customWidth="1"/>
    <col min="1311" max="1536" width="10.7109375" style="228"/>
    <col min="1537" max="1537" width="42.42578125" style="228" customWidth="1"/>
    <col min="1538" max="1566" width="10.7109375" style="228" customWidth="1"/>
    <col min="1567" max="1792" width="10.7109375" style="228"/>
    <col min="1793" max="1793" width="42.42578125" style="228" customWidth="1"/>
    <col min="1794" max="1822" width="10.7109375" style="228" customWidth="1"/>
    <col min="1823" max="2048" width="10.7109375" style="228"/>
    <col min="2049" max="2049" width="42.42578125" style="228" customWidth="1"/>
    <col min="2050" max="2078" width="10.7109375" style="228" customWidth="1"/>
    <col min="2079" max="2304" width="10.7109375" style="228"/>
    <col min="2305" max="2305" width="42.42578125" style="228" customWidth="1"/>
    <col min="2306" max="2334" width="10.7109375" style="228" customWidth="1"/>
    <col min="2335" max="2560" width="10.7109375" style="228"/>
    <col min="2561" max="2561" width="42.42578125" style="228" customWidth="1"/>
    <col min="2562" max="2590" width="10.7109375" style="228" customWidth="1"/>
    <col min="2591" max="2816" width="10.7109375" style="228"/>
    <col min="2817" max="2817" width="42.42578125" style="228" customWidth="1"/>
    <col min="2818" max="2846" width="10.7109375" style="228" customWidth="1"/>
    <col min="2847" max="3072" width="10.7109375" style="228"/>
    <col min="3073" max="3073" width="42.42578125" style="228" customWidth="1"/>
    <col min="3074" max="3102" width="10.7109375" style="228" customWidth="1"/>
    <col min="3103" max="3328" width="10.7109375" style="228"/>
    <col min="3329" max="3329" width="42.42578125" style="228" customWidth="1"/>
    <col min="3330" max="3358" width="10.7109375" style="228" customWidth="1"/>
    <col min="3359" max="3584" width="10.7109375" style="228"/>
    <col min="3585" max="3585" width="42.42578125" style="228" customWidth="1"/>
    <col min="3586" max="3614" width="10.7109375" style="228" customWidth="1"/>
    <col min="3615" max="3840" width="10.7109375" style="228"/>
    <col min="3841" max="3841" width="42.42578125" style="228" customWidth="1"/>
    <col min="3842" max="3870" width="10.7109375" style="228" customWidth="1"/>
    <col min="3871" max="4096" width="10.7109375" style="228"/>
    <col min="4097" max="4097" width="42.42578125" style="228" customWidth="1"/>
    <col min="4098" max="4126" width="10.7109375" style="228" customWidth="1"/>
    <col min="4127" max="4352" width="10.7109375" style="228"/>
    <col min="4353" max="4353" width="42.42578125" style="228" customWidth="1"/>
    <col min="4354" max="4382" width="10.7109375" style="228" customWidth="1"/>
    <col min="4383" max="4608" width="10.7109375" style="228"/>
    <col min="4609" max="4609" width="42.42578125" style="228" customWidth="1"/>
    <col min="4610" max="4638" width="10.7109375" style="228" customWidth="1"/>
    <col min="4639" max="4864" width="10.7109375" style="228"/>
    <col min="4865" max="4865" width="42.42578125" style="228" customWidth="1"/>
    <col min="4866" max="4894" width="10.7109375" style="228" customWidth="1"/>
    <col min="4895" max="5120" width="10.7109375" style="228"/>
    <col min="5121" max="5121" width="42.42578125" style="228" customWidth="1"/>
    <col min="5122" max="5150" width="10.7109375" style="228" customWidth="1"/>
    <col min="5151" max="5376" width="10.7109375" style="228"/>
    <col min="5377" max="5377" width="42.42578125" style="228" customWidth="1"/>
    <col min="5378" max="5406" width="10.7109375" style="228" customWidth="1"/>
    <col min="5407" max="5632" width="10.7109375" style="228"/>
    <col min="5633" max="5633" width="42.42578125" style="228" customWidth="1"/>
    <col min="5634" max="5662" width="10.7109375" style="228" customWidth="1"/>
    <col min="5663" max="5888" width="10.7109375" style="228"/>
    <col min="5889" max="5889" width="42.42578125" style="228" customWidth="1"/>
    <col min="5890" max="5918" width="10.7109375" style="228" customWidth="1"/>
    <col min="5919" max="6144" width="10.7109375" style="228"/>
    <col min="6145" max="6145" width="42.42578125" style="228" customWidth="1"/>
    <col min="6146" max="6174" width="10.7109375" style="228" customWidth="1"/>
    <col min="6175" max="6400" width="10.7109375" style="228"/>
    <col min="6401" max="6401" width="42.42578125" style="228" customWidth="1"/>
    <col min="6402" max="6430" width="10.7109375" style="228" customWidth="1"/>
    <col min="6431" max="6656" width="10.7109375" style="228"/>
    <col min="6657" max="6657" width="42.42578125" style="228" customWidth="1"/>
    <col min="6658" max="6686" width="10.7109375" style="228" customWidth="1"/>
    <col min="6687" max="6912" width="10.7109375" style="228"/>
    <col min="6913" max="6913" width="42.42578125" style="228" customWidth="1"/>
    <col min="6914" max="6942" width="10.7109375" style="228" customWidth="1"/>
    <col min="6943" max="7168" width="10.7109375" style="228"/>
    <col min="7169" max="7169" width="42.42578125" style="228" customWidth="1"/>
    <col min="7170" max="7198" width="10.7109375" style="228" customWidth="1"/>
    <col min="7199" max="7424" width="10.7109375" style="228"/>
    <col min="7425" max="7425" width="42.42578125" style="228" customWidth="1"/>
    <col min="7426" max="7454" width="10.7109375" style="228" customWidth="1"/>
    <col min="7455" max="7680" width="10.7109375" style="228"/>
    <col min="7681" max="7681" width="42.42578125" style="228" customWidth="1"/>
    <col min="7682" max="7710" width="10.7109375" style="228" customWidth="1"/>
    <col min="7711" max="7936" width="10.7109375" style="228"/>
    <col min="7937" max="7937" width="42.42578125" style="228" customWidth="1"/>
    <col min="7938" max="7966" width="10.7109375" style="228" customWidth="1"/>
    <col min="7967" max="8192" width="10.7109375" style="228"/>
    <col min="8193" max="8193" width="42.42578125" style="228" customWidth="1"/>
    <col min="8194" max="8222" width="10.7109375" style="228" customWidth="1"/>
    <col min="8223" max="8448" width="10.7109375" style="228"/>
    <col min="8449" max="8449" width="42.42578125" style="228" customWidth="1"/>
    <col min="8450" max="8478" width="10.7109375" style="228" customWidth="1"/>
    <col min="8479" max="8704" width="10.7109375" style="228"/>
    <col min="8705" max="8705" width="42.42578125" style="228" customWidth="1"/>
    <col min="8706" max="8734" width="10.7109375" style="228" customWidth="1"/>
    <col min="8735" max="8960" width="10.7109375" style="228"/>
    <col min="8961" max="8961" width="42.42578125" style="228" customWidth="1"/>
    <col min="8962" max="8990" width="10.7109375" style="228" customWidth="1"/>
    <col min="8991" max="9216" width="10.7109375" style="228"/>
    <col min="9217" max="9217" width="42.42578125" style="228" customWidth="1"/>
    <col min="9218" max="9246" width="10.7109375" style="228" customWidth="1"/>
    <col min="9247" max="9472" width="10.7109375" style="228"/>
    <col min="9473" max="9473" width="42.42578125" style="228" customWidth="1"/>
    <col min="9474" max="9502" width="10.7109375" style="228" customWidth="1"/>
    <col min="9503" max="9728" width="10.7109375" style="228"/>
    <col min="9729" max="9729" width="42.42578125" style="228" customWidth="1"/>
    <col min="9730" max="9758" width="10.7109375" style="228" customWidth="1"/>
    <col min="9759" max="9984" width="10.7109375" style="228"/>
    <col min="9985" max="9985" width="42.42578125" style="228" customWidth="1"/>
    <col min="9986" max="10014" width="10.7109375" style="228" customWidth="1"/>
    <col min="10015" max="10240" width="10.7109375" style="228"/>
    <col min="10241" max="10241" width="42.42578125" style="228" customWidth="1"/>
    <col min="10242" max="10270" width="10.7109375" style="228" customWidth="1"/>
    <col min="10271" max="10496" width="10.7109375" style="228"/>
    <col min="10497" max="10497" width="42.42578125" style="228" customWidth="1"/>
    <col min="10498" max="10526" width="10.7109375" style="228" customWidth="1"/>
    <col min="10527" max="10752" width="10.7109375" style="228"/>
    <col min="10753" max="10753" width="42.42578125" style="228" customWidth="1"/>
    <col min="10754" max="10782" width="10.7109375" style="228" customWidth="1"/>
    <col min="10783" max="11008" width="10.7109375" style="228"/>
    <col min="11009" max="11009" width="42.42578125" style="228" customWidth="1"/>
    <col min="11010" max="11038" width="10.7109375" style="228" customWidth="1"/>
    <col min="11039" max="11264" width="10.7109375" style="228"/>
    <col min="11265" max="11265" width="42.42578125" style="228" customWidth="1"/>
    <col min="11266" max="11294" width="10.7109375" style="228" customWidth="1"/>
    <col min="11295" max="11520" width="10.7109375" style="228"/>
    <col min="11521" max="11521" width="42.42578125" style="228" customWidth="1"/>
    <col min="11522" max="11550" width="10.7109375" style="228" customWidth="1"/>
    <col min="11551" max="11776" width="10.7109375" style="228"/>
    <col min="11777" max="11777" width="42.42578125" style="228" customWidth="1"/>
    <col min="11778" max="11806" width="10.7109375" style="228" customWidth="1"/>
    <col min="11807" max="12032" width="10.7109375" style="228"/>
    <col min="12033" max="12033" width="42.42578125" style="228" customWidth="1"/>
    <col min="12034" max="12062" width="10.7109375" style="228" customWidth="1"/>
    <col min="12063" max="12288" width="10.7109375" style="228"/>
    <col min="12289" max="12289" width="42.42578125" style="228" customWidth="1"/>
    <col min="12290" max="12318" width="10.7109375" style="228" customWidth="1"/>
    <col min="12319" max="12544" width="10.7109375" style="228"/>
    <col min="12545" max="12545" width="42.42578125" style="228" customWidth="1"/>
    <col min="12546" max="12574" width="10.7109375" style="228" customWidth="1"/>
    <col min="12575" max="12800" width="10.7109375" style="228"/>
    <col min="12801" max="12801" width="42.42578125" style="228" customWidth="1"/>
    <col min="12802" max="12830" width="10.7109375" style="228" customWidth="1"/>
    <col min="12831" max="13056" width="10.7109375" style="228"/>
    <col min="13057" max="13057" width="42.42578125" style="228" customWidth="1"/>
    <col min="13058" max="13086" width="10.7109375" style="228" customWidth="1"/>
    <col min="13087" max="13312" width="10.7109375" style="228"/>
    <col min="13313" max="13313" width="42.42578125" style="228" customWidth="1"/>
    <col min="13314" max="13342" width="10.7109375" style="228" customWidth="1"/>
    <col min="13343" max="13568" width="10.7109375" style="228"/>
    <col min="13569" max="13569" width="42.42578125" style="228" customWidth="1"/>
    <col min="13570" max="13598" width="10.7109375" style="228" customWidth="1"/>
    <col min="13599" max="13824" width="10.7109375" style="228"/>
    <col min="13825" max="13825" width="42.42578125" style="228" customWidth="1"/>
    <col min="13826" max="13854" width="10.7109375" style="228" customWidth="1"/>
    <col min="13855" max="14080" width="10.7109375" style="228"/>
    <col min="14081" max="14081" width="42.42578125" style="228" customWidth="1"/>
    <col min="14082" max="14110" width="10.7109375" style="228" customWidth="1"/>
    <col min="14111" max="14336" width="10.7109375" style="228"/>
    <col min="14337" max="14337" width="42.42578125" style="228" customWidth="1"/>
    <col min="14338" max="14366" width="10.7109375" style="228" customWidth="1"/>
    <col min="14367" max="14592" width="10.7109375" style="228"/>
    <col min="14593" max="14593" width="42.42578125" style="228" customWidth="1"/>
    <col min="14594" max="14622" width="10.7109375" style="228" customWidth="1"/>
    <col min="14623" max="14848" width="10.7109375" style="228"/>
    <col min="14849" max="14849" width="42.42578125" style="228" customWidth="1"/>
    <col min="14850" max="14878" width="10.7109375" style="228" customWidth="1"/>
    <col min="14879" max="15104" width="10.7109375" style="228"/>
    <col min="15105" max="15105" width="42.42578125" style="228" customWidth="1"/>
    <col min="15106" max="15134" width="10.7109375" style="228" customWidth="1"/>
    <col min="15135" max="15360" width="10.7109375" style="228"/>
    <col min="15361" max="15361" width="42.42578125" style="228" customWidth="1"/>
    <col min="15362" max="15390" width="10.7109375" style="228" customWidth="1"/>
    <col min="15391" max="15616" width="10.7109375" style="228"/>
    <col min="15617" max="15617" width="42.42578125" style="228" customWidth="1"/>
    <col min="15618" max="15646" width="10.7109375" style="228" customWidth="1"/>
    <col min="15647" max="15872" width="10.7109375" style="228"/>
    <col min="15873" max="15873" width="42.42578125" style="228" customWidth="1"/>
    <col min="15874" max="15902" width="10.7109375" style="228" customWidth="1"/>
    <col min="15903" max="16128" width="10.7109375" style="228"/>
    <col min="16129" max="16129" width="42.42578125" style="228" customWidth="1"/>
    <col min="16130" max="16158" width="10.7109375" style="228" customWidth="1"/>
    <col min="16159" max="16384" width="10.7109375" style="228"/>
  </cols>
  <sheetData>
    <row r="2" spans="1:82" ht="15" customHeight="1" x14ac:dyDescent="0.2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49"/>
      <c r="AA2" s="449"/>
      <c r="AB2" s="449"/>
      <c r="AC2" s="449"/>
      <c r="AD2" s="541"/>
      <c r="AE2" s="436"/>
      <c r="AF2" s="449"/>
      <c r="AG2" s="449"/>
      <c r="AH2" s="449"/>
      <c r="AI2" s="449"/>
      <c r="AJ2" s="449"/>
      <c r="AK2" s="449"/>
    </row>
    <row r="3" spans="1:82" ht="15" customHeight="1" x14ac:dyDescent="0.2">
      <c r="A3" s="449"/>
      <c r="B3" s="449"/>
      <c r="C3" s="449"/>
      <c r="D3" s="449"/>
      <c r="E3" s="449"/>
      <c r="F3" s="449"/>
      <c r="G3" s="449"/>
      <c r="H3" s="449"/>
      <c r="I3" s="449"/>
      <c r="J3" s="449"/>
      <c r="K3" s="449"/>
      <c r="L3" s="449"/>
      <c r="M3" s="449"/>
      <c r="N3" s="449"/>
      <c r="O3" s="449"/>
      <c r="P3" s="449"/>
      <c r="Q3" s="449"/>
      <c r="R3" s="449"/>
      <c r="S3" s="449"/>
      <c r="T3" s="449"/>
      <c r="U3" s="449"/>
      <c r="V3" s="449"/>
      <c r="W3" s="449"/>
      <c r="X3" s="449"/>
      <c r="Y3" s="449"/>
      <c r="Z3" s="449"/>
      <c r="AA3" s="449"/>
      <c r="AB3" s="449"/>
      <c r="AC3" s="449"/>
      <c r="AD3" s="532"/>
      <c r="AE3" s="449"/>
      <c r="AF3" s="449"/>
      <c r="AG3" s="449"/>
      <c r="AH3" s="449"/>
      <c r="AI3" s="449"/>
      <c r="AJ3" s="449"/>
      <c r="AK3" s="449"/>
    </row>
    <row r="4" spans="1:82" ht="15" customHeight="1" x14ac:dyDescent="0.2">
      <c r="A4" s="450"/>
      <c r="B4" s="450"/>
      <c r="C4" s="450"/>
      <c r="D4" s="450"/>
      <c r="E4" s="450"/>
      <c r="F4" s="450"/>
      <c r="G4" s="450"/>
      <c r="H4" s="450"/>
      <c r="I4" s="450"/>
      <c r="J4" s="450"/>
      <c r="K4" s="450"/>
      <c r="L4" s="450"/>
      <c r="M4" s="450"/>
      <c r="N4" s="450"/>
      <c r="O4" s="450"/>
      <c r="P4" s="450"/>
      <c r="Q4" s="450"/>
      <c r="R4" s="450"/>
      <c r="S4" s="450"/>
      <c r="T4" s="450"/>
      <c r="U4" s="450"/>
      <c r="V4" s="450"/>
      <c r="W4" s="450"/>
      <c r="X4" s="450"/>
      <c r="Y4" s="450"/>
      <c r="Z4" s="450"/>
      <c r="AA4" s="450"/>
      <c r="AB4" s="450"/>
      <c r="AC4" s="450"/>
      <c r="AD4" s="533"/>
      <c r="AE4" s="450"/>
      <c r="AF4" s="450"/>
      <c r="AG4" s="450"/>
      <c r="AH4" s="450"/>
      <c r="AI4" s="450"/>
      <c r="AJ4" s="450"/>
      <c r="AK4" s="450"/>
    </row>
    <row r="5" spans="1:82" ht="39.950000000000003" customHeight="1" thickBot="1" x14ac:dyDescent="0.25">
      <c r="A5" s="687" t="s">
        <v>525</v>
      </c>
      <c r="B5" s="450"/>
      <c r="C5" s="450"/>
      <c r="D5" s="450"/>
      <c r="E5" s="450"/>
      <c r="F5" s="450"/>
      <c r="G5" s="450"/>
      <c r="H5" s="450"/>
      <c r="I5" s="450"/>
      <c r="J5" s="450"/>
      <c r="K5" s="450"/>
      <c r="L5" s="450"/>
      <c r="M5" s="450"/>
      <c r="N5" s="450"/>
      <c r="O5" s="450"/>
      <c r="P5" s="450"/>
      <c r="Q5" s="450"/>
      <c r="R5" s="450"/>
      <c r="S5" s="450"/>
      <c r="T5" s="450"/>
      <c r="U5" s="450"/>
      <c r="V5" s="450"/>
      <c r="W5" s="450"/>
      <c r="X5" s="450"/>
      <c r="Y5" s="450"/>
      <c r="Z5" s="253"/>
      <c r="AA5" s="253"/>
      <c r="AB5" s="253"/>
      <c r="AC5" s="253"/>
      <c r="AD5" s="533"/>
      <c r="AE5" s="450"/>
      <c r="AF5" s="253"/>
      <c r="AG5" s="253"/>
      <c r="AH5" s="253"/>
      <c r="AI5" s="253"/>
      <c r="AJ5" s="253"/>
      <c r="AK5" s="253"/>
    </row>
    <row r="6" spans="1:82" ht="15" customHeight="1" thickTop="1" x14ac:dyDescent="0.2">
      <c r="A6" s="475"/>
      <c r="B6" s="542"/>
      <c r="C6" s="542"/>
      <c r="D6" s="542"/>
      <c r="E6" s="542"/>
      <c r="F6" s="542"/>
      <c r="G6" s="542"/>
      <c r="H6" s="542"/>
      <c r="I6" s="542"/>
      <c r="J6" s="542"/>
      <c r="K6" s="542"/>
      <c r="L6" s="542"/>
      <c r="M6" s="542"/>
      <c r="N6" s="542"/>
      <c r="O6" s="542"/>
      <c r="P6" s="542"/>
      <c r="Q6" s="542"/>
      <c r="R6" s="542"/>
      <c r="S6" s="542"/>
      <c r="T6" s="542"/>
      <c r="U6" s="542"/>
      <c r="V6" s="542"/>
      <c r="W6" s="542"/>
      <c r="X6" s="542"/>
      <c r="Y6" s="542"/>
      <c r="Z6" s="534"/>
      <c r="AA6" s="534"/>
      <c r="AB6" s="534"/>
      <c r="AC6" s="534"/>
      <c r="AD6" s="543"/>
      <c r="AE6" s="542"/>
      <c r="AF6" s="534"/>
      <c r="AG6" s="534"/>
      <c r="AH6" s="535"/>
      <c r="AI6" s="535"/>
      <c r="AL6" s="536"/>
      <c r="AM6" s="536"/>
      <c r="AN6" s="536"/>
      <c r="AP6" s="400"/>
      <c r="AQ6" s="400"/>
      <c r="AR6" s="400"/>
      <c r="AS6" s="400" t="s">
        <v>662</v>
      </c>
    </row>
    <row r="7" spans="1:82" s="183" customFormat="1" ht="15" customHeight="1" x14ac:dyDescent="0.2">
      <c r="A7" s="182"/>
      <c r="B7" s="498" t="s">
        <v>35</v>
      </c>
      <c r="C7" s="498" t="s">
        <v>36</v>
      </c>
      <c r="D7" s="498" t="s">
        <v>321</v>
      </c>
      <c r="E7" s="498" t="s">
        <v>331</v>
      </c>
      <c r="F7" s="498" t="s">
        <v>37</v>
      </c>
      <c r="G7" s="498" t="s">
        <v>38</v>
      </c>
      <c r="H7" s="498" t="s">
        <v>322</v>
      </c>
      <c r="I7" s="498" t="s">
        <v>332</v>
      </c>
      <c r="J7" s="498" t="s">
        <v>39</v>
      </c>
      <c r="K7" s="498" t="s">
        <v>40</v>
      </c>
      <c r="L7" s="498" t="s">
        <v>323</v>
      </c>
      <c r="M7" s="498" t="s">
        <v>333</v>
      </c>
      <c r="N7" s="498" t="s">
        <v>41</v>
      </c>
      <c r="O7" s="498" t="s">
        <v>42</v>
      </c>
      <c r="P7" s="498" t="s">
        <v>324</v>
      </c>
      <c r="Q7" s="498" t="s">
        <v>334</v>
      </c>
      <c r="R7" s="498" t="s">
        <v>43</v>
      </c>
      <c r="S7" s="498" t="s">
        <v>44</v>
      </c>
      <c r="T7" s="498" t="s">
        <v>325</v>
      </c>
      <c r="U7" s="498" t="s">
        <v>335</v>
      </c>
      <c r="V7" s="498" t="s">
        <v>45</v>
      </c>
      <c r="W7" s="498" t="s">
        <v>46</v>
      </c>
      <c r="X7" s="498" t="s">
        <v>326</v>
      </c>
      <c r="Y7" s="498" t="s">
        <v>336</v>
      </c>
      <c r="Z7" s="498" t="s">
        <v>47</v>
      </c>
      <c r="AA7" s="498" t="s">
        <v>48</v>
      </c>
      <c r="AB7" s="498" t="s">
        <v>327</v>
      </c>
      <c r="AC7" s="498" t="s">
        <v>337</v>
      </c>
      <c r="AD7" s="498" t="s">
        <v>49</v>
      </c>
      <c r="AE7" s="498" t="s">
        <v>50</v>
      </c>
      <c r="AF7" s="498" t="s">
        <v>328</v>
      </c>
      <c r="AG7" s="498" t="s">
        <v>338</v>
      </c>
      <c r="AH7" s="498" t="s">
        <v>51</v>
      </c>
      <c r="AI7" s="498" t="s">
        <v>52</v>
      </c>
      <c r="AJ7" s="498" t="s">
        <v>329</v>
      </c>
      <c r="AK7" s="498" t="s">
        <v>339</v>
      </c>
      <c r="AL7" s="498" t="s">
        <v>53</v>
      </c>
      <c r="AM7" s="498" t="s">
        <v>54</v>
      </c>
      <c r="AN7" s="498" t="s">
        <v>330</v>
      </c>
      <c r="AO7" s="498" t="s">
        <v>340</v>
      </c>
      <c r="AP7" s="498" t="s">
        <v>71</v>
      </c>
      <c r="AQ7" s="591" t="s">
        <v>374</v>
      </c>
      <c r="AR7" s="664" t="s">
        <v>376</v>
      </c>
      <c r="AS7" s="664" t="s">
        <v>399</v>
      </c>
      <c r="CC7" s="243"/>
    </row>
    <row r="8" spans="1:82" s="178" customFormat="1" ht="9.9499999999999993" customHeight="1" x14ac:dyDescent="0.2">
      <c r="A8" s="233"/>
      <c r="B8" s="233"/>
      <c r="C8" s="233"/>
      <c r="D8" s="233"/>
      <c r="E8" s="233"/>
      <c r="F8" s="233"/>
      <c r="G8" s="233"/>
      <c r="H8" s="233"/>
      <c r="I8" s="233"/>
      <c r="J8" s="233"/>
      <c r="K8" s="233"/>
      <c r="L8" s="233"/>
      <c r="M8" s="233"/>
      <c r="N8" s="233"/>
      <c r="O8" s="233"/>
      <c r="P8" s="233"/>
      <c r="Q8" s="233"/>
      <c r="R8" s="233"/>
      <c r="S8" s="233"/>
      <c r="T8" s="233"/>
      <c r="U8" s="233"/>
      <c r="V8" s="233"/>
      <c r="W8" s="233"/>
      <c r="X8" s="233"/>
      <c r="Y8" s="233"/>
      <c r="Z8" s="233"/>
      <c r="AA8" s="233"/>
      <c r="AB8" s="233"/>
      <c r="AC8" s="233"/>
      <c r="AD8" s="233"/>
      <c r="AE8" s="233"/>
      <c r="AF8" s="233"/>
      <c r="AG8" s="233"/>
      <c r="AH8" s="233"/>
      <c r="AI8" s="233"/>
      <c r="AJ8" s="233"/>
      <c r="AK8" s="233"/>
      <c r="AL8" s="233"/>
      <c r="AM8" s="233"/>
      <c r="AN8" s="233"/>
      <c r="AO8" s="233"/>
      <c r="AP8" s="233"/>
      <c r="AQ8" s="233"/>
      <c r="AR8" s="233"/>
      <c r="AS8" s="233"/>
      <c r="AT8" s="191"/>
      <c r="AU8" s="191"/>
      <c r="AV8" s="191"/>
      <c r="AW8" s="191"/>
      <c r="AX8" s="191"/>
      <c r="AY8" s="191"/>
      <c r="AZ8" s="191"/>
      <c r="BA8" s="191"/>
      <c r="BB8" s="191"/>
      <c r="BC8" s="191"/>
      <c r="BD8" s="191"/>
      <c r="BE8" s="191"/>
      <c r="BF8" s="191"/>
      <c r="BG8" s="191"/>
      <c r="BH8" s="191"/>
      <c r="BI8" s="191"/>
      <c r="BJ8" s="191"/>
      <c r="BK8" s="191"/>
      <c r="BL8" s="191"/>
      <c r="BM8" s="191"/>
      <c r="BN8" s="191"/>
      <c r="BO8" s="191"/>
      <c r="BP8" s="191"/>
      <c r="BQ8" s="191"/>
      <c r="BR8" s="191"/>
      <c r="BS8" s="191"/>
      <c r="BT8" s="191"/>
      <c r="BU8" s="191"/>
      <c r="BV8" s="191"/>
      <c r="BW8" s="191"/>
      <c r="BX8" s="191"/>
      <c r="BY8" s="191"/>
      <c r="BZ8" s="191"/>
      <c r="CA8" s="191"/>
      <c r="CB8" s="191"/>
      <c r="CC8" s="191"/>
      <c r="CD8" s="191"/>
    </row>
    <row r="9" spans="1:82" s="537" customFormat="1" ht="5.0999999999999996" customHeight="1" x14ac:dyDescent="0.2">
      <c r="A9" s="544"/>
      <c r="B9" s="538"/>
      <c r="C9" s="538"/>
      <c r="D9" s="538"/>
      <c r="E9" s="538"/>
      <c r="F9" s="538"/>
      <c r="G9" s="538"/>
      <c r="H9" s="538"/>
      <c r="I9" s="388"/>
      <c r="J9" s="538"/>
      <c r="K9" s="538"/>
      <c r="L9" s="538"/>
      <c r="M9" s="388"/>
      <c r="N9" s="538"/>
      <c r="O9" s="538"/>
      <c r="P9" s="538"/>
      <c r="Q9" s="388"/>
      <c r="R9" s="538"/>
      <c r="S9" s="538"/>
      <c r="T9" s="538"/>
      <c r="U9" s="388"/>
      <c r="V9" s="538"/>
      <c r="W9" s="538"/>
      <c r="X9" s="538"/>
      <c r="Y9" s="388"/>
      <c r="Z9" s="538"/>
      <c r="AA9" s="538"/>
      <c r="AB9" s="538"/>
      <c r="AC9" s="388"/>
      <c r="AD9" s="538"/>
      <c r="AE9" s="538"/>
      <c r="AF9" s="538"/>
      <c r="AG9" s="388"/>
      <c r="AH9" s="538"/>
      <c r="AI9" s="538"/>
      <c r="AJ9" s="538"/>
      <c r="AK9" s="388"/>
      <c r="AL9" s="538"/>
      <c r="AM9" s="538"/>
      <c r="AN9" s="538"/>
      <c r="AO9" s="538"/>
    </row>
    <row r="10" spans="1:82" ht="15" customHeight="1" x14ac:dyDescent="0.2">
      <c r="A10" s="226" t="s">
        <v>364</v>
      </c>
      <c r="B10" s="253">
        <v>2502</v>
      </c>
      <c r="C10" s="253">
        <v>2744</v>
      </c>
      <c r="D10" s="253">
        <v>3007</v>
      </c>
      <c r="E10" s="253">
        <v>3202</v>
      </c>
      <c r="F10" s="253">
        <v>3296</v>
      </c>
      <c r="G10" s="253">
        <v>3331</v>
      </c>
      <c r="H10" s="253">
        <v>3385</v>
      </c>
      <c r="I10" s="253">
        <v>3416</v>
      </c>
      <c r="J10" s="254">
        <v>3428</v>
      </c>
      <c r="K10" s="254">
        <v>3447</v>
      </c>
      <c r="L10" s="254">
        <v>3479</v>
      </c>
      <c r="M10" s="254">
        <v>3555</v>
      </c>
      <c r="N10" s="254">
        <v>3405</v>
      </c>
      <c r="O10" s="254">
        <v>3453</v>
      </c>
      <c r="P10" s="254">
        <v>3471</v>
      </c>
      <c r="Q10" s="254">
        <v>3512</v>
      </c>
      <c r="R10" s="254">
        <v>3737</v>
      </c>
      <c r="S10" s="254">
        <v>3888</v>
      </c>
      <c r="T10" s="254">
        <v>3991</v>
      </c>
      <c r="U10" s="254">
        <v>4021</v>
      </c>
      <c r="V10" s="254">
        <v>4127</v>
      </c>
      <c r="W10" s="254">
        <v>4180</v>
      </c>
      <c r="X10" s="254">
        <v>5528</v>
      </c>
      <c r="Y10" s="254">
        <v>5650</v>
      </c>
      <c r="Z10" s="254">
        <v>6381</v>
      </c>
      <c r="AA10" s="254">
        <v>6650</v>
      </c>
      <c r="AB10" s="254">
        <v>6740</v>
      </c>
      <c r="AC10" s="254">
        <v>5878</v>
      </c>
      <c r="AD10" s="254">
        <v>6079</v>
      </c>
      <c r="AE10" s="254">
        <v>6301</v>
      </c>
      <c r="AF10" s="254">
        <v>6380</v>
      </c>
      <c r="AG10" s="254">
        <v>6623</v>
      </c>
      <c r="AH10" s="254">
        <v>6832</v>
      </c>
      <c r="AI10" s="254">
        <v>6950</v>
      </c>
      <c r="AJ10" s="196">
        <v>6987</v>
      </c>
      <c r="AK10" s="196">
        <v>7040</v>
      </c>
      <c r="AL10" s="196">
        <v>7219</v>
      </c>
      <c r="AM10" s="196">
        <v>7568</v>
      </c>
      <c r="AN10" s="196">
        <v>8543</v>
      </c>
      <c r="AO10" s="196">
        <v>8559</v>
      </c>
      <c r="AP10" s="196">
        <v>8856</v>
      </c>
      <c r="AQ10" s="196">
        <v>9393</v>
      </c>
      <c r="AR10" s="196">
        <v>9575</v>
      </c>
      <c r="AS10" s="200">
        <v>9754</v>
      </c>
    </row>
    <row r="11" spans="1:82" ht="15" customHeight="1" x14ac:dyDescent="0.2">
      <c r="A11" s="226" t="s">
        <v>365</v>
      </c>
      <c r="B11" s="253">
        <v>1769</v>
      </c>
      <c r="C11" s="253">
        <v>1741</v>
      </c>
      <c r="D11" s="253">
        <v>1835</v>
      </c>
      <c r="E11" s="253">
        <v>1667</v>
      </c>
      <c r="F11" s="253">
        <v>1638</v>
      </c>
      <c r="G11" s="539">
        <v>1600</v>
      </c>
      <c r="H11" s="539">
        <v>1641</v>
      </c>
      <c r="I11" s="539">
        <v>1740</v>
      </c>
      <c r="J11" s="254">
        <v>1755</v>
      </c>
      <c r="K11" s="254">
        <v>1736</v>
      </c>
      <c r="L11" s="254">
        <v>1728</v>
      </c>
      <c r="M11" s="254">
        <v>1837</v>
      </c>
      <c r="N11" s="254">
        <v>2059</v>
      </c>
      <c r="O11" s="254">
        <v>2125</v>
      </c>
      <c r="P11" s="254">
        <v>2148</v>
      </c>
      <c r="Q11" s="254">
        <v>2234</v>
      </c>
      <c r="R11" s="254">
        <v>2216</v>
      </c>
      <c r="S11" s="254">
        <v>2349</v>
      </c>
      <c r="T11" s="254">
        <v>2415</v>
      </c>
      <c r="U11" s="254">
        <v>2473</v>
      </c>
      <c r="V11" s="254">
        <v>2493</v>
      </c>
      <c r="W11" s="254">
        <v>2682</v>
      </c>
      <c r="X11" s="254">
        <v>2776</v>
      </c>
      <c r="Y11" s="254">
        <v>2699</v>
      </c>
      <c r="Z11" s="254">
        <v>2643</v>
      </c>
      <c r="AA11" s="254">
        <v>2740</v>
      </c>
      <c r="AB11" s="254">
        <v>2792</v>
      </c>
      <c r="AC11" s="254">
        <v>2721</v>
      </c>
      <c r="AD11" s="254">
        <v>2927</v>
      </c>
      <c r="AE11" s="254">
        <v>3199</v>
      </c>
      <c r="AF11" s="254">
        <v>3336</v>
      </c>
      <c r="AG11" s="254">
        <v>3196</v>
      </c>
      <c r="AH11" s="254">
        <v>3214</v>
      </c>
      <c r="AI11" s="254">
        <v>3270</v>
      </c>
      <c r="AJ11" s="196">
        <v>3215</v>
      </c>
      <c r="AK11" s="196">
        <v>3178</v>
      </c>
      <c r="AL11" s="196">
        <v>3094</v>
      </c>
      <c r="AM11" s="196">
        <v>3182</v>
      </c>
      <c r="AN11" s="196">
        <v>3175</v>
      </c>
      <c r="AO11" s="196">
        <v>3127</v>
      </c>
      <c r="AP11" s="196">
        <v>3051</v>
      </c>
      <c r="AQ11" s="196">
        <v>3153</v>
      </c>
      <c r="AR11" s="196">
        <v>3241</v>
      </c>
      <c r="AS11" s="200">
        <v>3157</v>
      </c>
    </row>
    <row r="12" spans="1:82" ht="15" customHeight="1" x14ac:dyDescent="0.2">
      <c r="A12" s="226" t="s">
        <v>366</v>
      </c>
      <c r="B12" s="253">
        <v>181</v>
      </c>
      <c r="C12" s="253">
        <v>191</v>
      </c>
      <c r="D12" s="253">
        <v>183</v>
      </c>
      <c r="E12" s="253">
        <v>164</v>
      </c>
      <c r="F12" s="253">
        <v>209</v>
      </c>
      <c r="G12" s="539">
        <v>227</v>
      </c>
      <c r="H12" s="539">
        <v>229</v>
      </c>
      <c r="I12" s="539">
        <v>222</v>
      </c>
      <c r="J12" s="254">
        <v>287</v>
      </c>
      <c r="K12" s="254">
        <v>297</v>
      </c>
      <c r="L12" s="254">
        <v>324</v>
      </c>
      <c r="M12" s="254">
        <v>320</v>
      </c>
      <c r="N12" s="254">
        <v>296</v>
      </c>
      <c r="O12" s="254">
        <v>299</v>
      </c>
      <c r="P12" s="254">
        <v>309</v>
      </c>
      <c r="Q12" s="254">
        <v>295</v>
      </c>
      <c r="R12" s="254">
        <v>343</v>
      </c>
      <c r="S12" s="254">
        <v>401</v>
      </c>
      <c r="T12" s="254">
        <v>414</v>
      </c>
      <c r="U12" s="254">
        <v>398</v>
      </c>
      <c r="V12" s="254">
        <v>482</v>
      </c>
      <c r="W12" s="254">
        <v>524</v>
      </c>
      <c r="X12" s="254">
        <v>526</v>
      </c>
      <c r="Y12" s="254">
        <v>496</v>
      </c>
      <c r="Z12" s="254">
        <v>573</v>
      </c>
      <c r="AA12" s="254">
        <v>788</v>
      </c>
      <c r="AB12" s="254">
        <v>804</v>
      </c>
      <c r="AC12" s="254">
        <v>765</v>
      </c>
      <c r="AD12" s="254">
        <v>322</v>
      </c>
      <c r="AE12" s="254">
        <v>272</v>
      </c>
      <c r="AF12" s="254">
        <v>266</v>
      </c>
      <c r="AG12" s="254">
        <v>246</v>
      </c>
      <c r="AH12" s="254">
        <v>298</v>
      </c>
      <c r="AI12" s="254">
        <v>330</v>
      </c>
      <c r="AJ12" s="196">
        <v>333</v>
      </c>
      <c r="AK12" s="196">
        <v>334</v>
      </c>
      <c r="AL12" s="196">
        <v>394</v>
      </c>
      <c r="AM12" s="196">
        <v>444</v>
      </c>
      <c r="AN12" s="196">
        <f>469+172</f>
        <v>641</v>
      </c>
      <c r="AO12" s="196">
        <v>474</v>
      </c>
      <c r="AP12" s="196">
        <v>506</v>
      </c>
      <c r="AQ12" s="196">
        <v>515</v>
      </c>
      <c r="AR12" s="196">
        <v>517</v>
      </c>
      <c r="AS12" s="200">
        <v>509</v>
      </c>
    </row>
    <row r="13" spans="1:82" ht="15" customHeight="1" x14ac:dyDescent="0.2">
      <c r="A13" s="226" t="s">
        <v>367</v>
      </c>
      <c r="B13" s="253">
        <v>1674</v>
      </c>
      <c r="C13" s="253">
        <v>1867</v>
      </c>
      <c r="D13" s="253">
        <v>2009</v>
      </c>
      <c r="E13" s="253">
        <v>2042</v>
      </c>
      <c r="F13" s="253">
        <v>2120</v>
      </c>
      <c r="G13" s="539">
        <v>2178</v>
      </c>
      <c r="H13" s="539">
        <v>2247</v>
      </c>
      <c r="I13" s="539">
        <v>2442</v>
      </c>
      <c r="J13" s="254">
        <v>2497</v>
      </c>
      <c r="K13" s="254">
        <v>2540</v>
      </c>
      <c r="L13" s="254">
        <v>2629</v>
      </c>
      <c r="M13" s="254">
        <v>2723</v>
      </c>
      <c r="N13" s="254">
        <v>2837</v>
      </c>
      <c r="O13" s="254">
        <v>2938</v>
      </c>
      <c r="P13" s="254">
        <v>3058</v>
      </c>
      <c r="Q13" s="254">
        <v>3263</v>
      </c>
      <c r="R13" s="254">
        <v>3382</v>
      </c>
      <c r="S13" s="254">
        <v>3610</v>
      </c>
      <c r="T13" s="254">
        <v>3781</v>
      </c>
      <c r="U13" s="254">
        <v>4001</v>
      </c>
      <c r="V13" s="254">
        <v>4204</v>
      </c>
      <c r="W13" s="254">
        <v>4349</v>
      </c>
      <c r="X13" s="254">
        <v>4648</v>
      </c>
      <c r="Y13" s="254">
        <v>4900</v>
      </c>
      <c r="Z13" s="254">
        <v>5085</v>
      </c>
      <c r="AA13" s="254">
        <v>5234</v>
      </c>
      <c r="AB13" s="254">
        <v>5299</v>
      </c>
      <c r="AC13" s="254">
        <v>5558</v>
      </c>
      <c r="AD13" s="254">
        <v>6061</v>
      </c>
      <c r="AE13" s="254">
        <v>6269</v>
      </c>
      <c r="AF13" s="254">
        <v>6491</v>
      </c>
      <c r="AG13" s="254">
        <v>6425</v>
      </c>
      <c r="AH13" s="254">
        <v>6767</v>
      </c>
      <c r="AI13" s="254">
        <v>6918</v>
      </c>
      <c r="AJ13" s="196">
        <v>7305</v>
      </c>
      <c r="AK13" s="196">
        <v>7833</v>
      </c>
      <c r="AL13" s="196">
        <v>8138</v>
      </c>
      <c r="AM13" s="196">
        <v>8482</v>
      </c>
      <c r="AN13" s="196">
        <v>9280</v>
      </c>
      <c r="AO13" s="196">
        <v>9647</v>
      </c>
      <c r="AP13" s="196">
        <v>9859</v>
      </c>
      <c r="AQ13" s="196">
        <v>10085</v>
      </c>
      <c r="AR13" s="196">
        <v>10363</v>
      </c>
      <c r="AS13" s="200">
        <v>10398</v>
      </c>
    </row>
    <row r="14" spans="1:82" ht="15" customHeight="1" x14ac:dyDescent="0.2">
      <c r="A14" s="226" t="s">
        <v>528</v>
      </c>
      <c r="B14" s="253">
        <v>524</v>
      </c>
      <c r="C14" s="253">
        <v>529</v>
      </c>
      <c r="D14" s="253">
        <v>544</v>
      </c>
      <c r="E14" s="253">
        <v>545</v>
      </c>
      <c r="F14" s="253">
        <v>558</v>
      </c>
      <c r="G14" s="539">
        <v>564</v>
      </c>
      <c r="H14" s="539">
        <v>567</v>
      </c>
      <c r="I14" s="539">
        <v>578</v>
      </c>
      <c r="J14" s="254">
        <v>1248</v>
      </c>
      <c r="K14" s="254">
        <v>1208</v>
      </c>
      <c r="L14" s="254">
        <v>1273</v>
      </c>
      <c r="M14" s="254">
        <v>1327</v>
      </c>
      <c r="N14" s="254">
        <v>1343</v>
      </c>
      <c r="O14" s="254">
        <v>1330</v>
      </c>
      <c r="P14" s="254">
        <v>1378</v>
      </c>
      <c r="Q14" s="254">
        <v>1319</v>
      </c>
      <c r="R14" s="254">
        <v>1472</v>
      </c>
      <c r="S14" s="254">
        <v>1480</v>
      </c>
      <c r="T14" s="254">
        <v>1438</v>
      </c>
      <c r="U14" s="254">
        <v>1447</v>
      </c>
      <c r="V14" s="254">
        <v>1655</v>
      </c>
      <c r="W14" s="254">
        <v>1663</v>
      </c>
      <c r="X14" s="254">
        <v>1732</v>
      </c>
      <c r="Y14" s="254">
        <v>1878</v>
      </c>
      <c r="Z14" s="254">
        <v>2000</v>
      </c>
      <c r="AA14" s="254">
        <v>2077</v>
      </c>
      <c r="AB14" s="254">
        <v>2211</v>
      </c>
      <c r="AC14" s="254">
        <v>2276</v>
      </c>
      <c r="AD14" s="254">
        <v>2387</v>
      </c>
      <c r="AE14" s="254">
        <v>2489</v>
      </c>
      <c r="AF14" s="254">
        <v>2616</v>
      </c>
      <c r="AG14" s="254">
        <v>2627</v>
      </c>
      <c r="AH14" s="254">
        <v>2695</v>
      </c>
      <c r="AI14" s="254">
        <v>2700</v>
      </c>
      <c r="AJ14" s="196">
        <v>2779</v>
      </c>
      <c r="AK14" s="196">
        <v>2777</v>
      </c>
      <c r="AL14" s="196">
        <v>2857</v>
      </c>
      <c r="AM14" s="196">
        <v>2843</v>
      </c>
      <c r="AN14" s="196">
        <v>2789</v>
      </c>
      <c r="AO14" s="196">
        <v>2696</v>
      </c>
      <c r="AP14" s="196">
        <v>2535</v>
      </c>
      <c r="AQ14" s="196">
        <v>2409</v>
      </c>
      <c r="AR14" s="196">
        <v>1427</v>
      </c>
      <c r="AS14" s="200">
        <v>1417</v>
      </c>
    </row>
    <row r="15" spans="1:82" ht="15" customHeight="1" x14ac:dyDescent="0.2">
      <c r="A15" s="226" t="s">
        <v>368</v>
      </c>
      <c r="B15" s="253">
        <v>8369</v>
      </c>
      <c r="C15" s="253">
        <v>8698</v>
      </c>
      <c r="D15" s="253">
        <v>8990</v>
      </c>
      <c r="E15" s="253">
        <v>9413</v>
      </c>
      <c r="F15" s="253">
        <v>9470</v>
      </c>
      <c r="G15" s="539">
        <v>9763</v>
      </c>
      <c r="H15" s="539">
        <v>9908</v>
      </c>
      <c r="I15" s="539">
        <v>10422</v>
      </c>
      <c r="J15" s="254">
        <v>10448</v>
      </c>
      <c r="K15" s="254">
        <v>10820</v>
      </c>
      <c r="L15" s="254">
        <v>11227</v>
      </c>
      <c r="M15" s="254">
        <v>11779</v>
      </c>
      <c r="N15" s="254">
        <v>11791</v>
      </c>
      <c r="O15" s="254">
        <v>12030</v>
      </c>
      <c r="P15" s="254">
        <v>12571</v>
      </c>
      <c r="Q15" s="254">
        <v>13296</v>
      </c>
      <c r="R15" s="254">
        <v>13535</v>
      </c>
      <c r="S15" s="254">
        <v>13917</v>
      </c>
      <c r="T15" s="254">
        <v>14429</v>
      </c>
      <c r="U15" s="254">
        <v>15458</v>
      </c>
      <c r="V15" s="254">
        <v>15721</v>
      </c>
      <c r="W15" s="254">
        <v>16093</v>
      </c>
      <c r="X15" s="254">
        <v>16988</v>
      </c>
      <c r="Y15" s="254">
        <v>17944</v>
      </c>
      <c r="Z15" s="254">
        <v>18000</v>
      </c>
      <c r="AA15" s="254">
        <v>18222</v>
      </c>
      <c r="AB15" s="254">
        <v>18662</v>
      </c>
      <c r="AC15" s="254">
        <v>19390</v>
      </c>
      <c r="AD15" s="254">
        <v>19312</v>
      </c>
      <c r="AE15" s="254">
        <v>19793</v>
      </c>
      <c r="AF15" s="254">
        <v>20398</v>
      </c>
      <c r="AG15" s="254">
        <v>20917</v>
      </c>
      <c r="AH15" s="254">
        <v>20865</v>
      </c>
      <c r="AI15" s="254">
        <v>21489</v>
      </c>
      <c r="AJ15" s="196">
        <v>21946</v>
      </c>
      <c r="AK15" s="196">
        <v>22812</v>
      </c>
      <c r="AL15" s="196">
        <v>23085</v>
      </c>
      <c r="AM15" s="196">
        <v>23693</v>
      </c>
      <c r="AN15" s="196">
        <v>29588</v>
      </c>
      <c r="AO15" s="196">
        <v>30499</v>
      </c>
      <c r="AP15" s="196">
        <v>30851</v>
      </c>
      <c r="AQ15" s="196">
        <v>31124</v>
      </c>
      <c r="AR15" s="196">
        <v>31858</v>
      </c>
      <c r="AS15" s="200">
        <v>32795</v>
      </c>
    </row>
    <row r="16" spans="1:82" ht="15" customHeight="1" x14ac:dyDescent="0.2">
      <c r="A16" s="226" t="s">
        <v>369</v>
      </c>
      <c r="B16" s="253">
        <v>19763</v>
      </c>
      <c r="C16" s="253">
        <v>21059</v>
      </c>
      <c r="D16" s="253">
        <v>22345</v>
      </c>
      <c r="E16" s="253">
        <v>24517</v>
      </c>
      <c r="F16" s="253">
        <v>25161</v>
      </c>
      <c r="G16" s="539">
        <v>26523</v>
      </c>
      <c r="H16" s="539">
        <v>26778</v>
      </c>
      <c r="I16" s="539">
        <v>27628</v>
      </c>
      <c r="J16" s="254">
        <v>28751</v>
      </c>
      <c r="K16" s="254">
        <v>30403</v>
      </c>
      <c r="L16" s="254">
        <v>32179</v>
      </c>
      <c r="M16" s="254">
        <v>35131</v>
      </c>
      <c r="N16" s="254">
        <v>36584</v>
      </c>
      <c r="O16" s="254">
        <v>37326</v>
      </c>
      <c r="P16" s="254">
        <v>39201</v>
      </c>
      <c r="Q16" s="254">
        <v>42275</v>
      </c>
      <c r="R16" s="254">
        <v>43634</v>
      </c>
      <c r="S16" s="254">
        <v>46194</v>
      </c>
      <c r="T16" s="254">
        <v>48059</v>
      </c>
      <c r="U16" s="254">
        <v>52776</v>
      </c>
      <c r="V16" s="254">
        <v>54894</v>
      </c>
      <c r="W16" s="254">
        <v>58260</v>
      </c>
      <c r="X16" s="254">
        <v>60237</v>
      </c>
      <c r="Y16" s="254">
        <v>65020</v>
      </c>
      <c r="Z16" s="254">
        <v>66718</v>
      </c>
      <c r="AA16" s="254">
        <v>69696</v>
      </c>
      <c r="AB16" s="254">
        <v>70076</v>
      </c>
      <c r="AC16" s="254">
        <v>74054</v>
      </c>
      <c r="AD16" s="254">
        <v>75018</v>
      </c>
      <c r="AE16" s="254">
        <v>78317</v>
      </c>
      <c r="AF16" s="254">
        <v>80128</v>
      </c>
      <c r="AG16" s="254">
        <v>86977</v>
      </c>
      <c r="AH16" s="254">
        <v>89737</v>
      </c>
      <c r="AI16" s="254">
        <v>95411</v>
      </c>
      <c r="AJ16" s="196">
        <v>98216</v>
      </c>
      <c r="AK16" s="196">
        <v>106052</v>
      </c>
      <c r="AL16" s="196">
        <v>109931</v>
      </c>
      <c r="AM16" s="196">
        <v>115605</v>
      </c>
      <c r="AN16" s="196">
        <v>129637</v>
      </c>
      <c r="AO16" s="196">
        <v>138360</v>
      </c>
      <c r="AP16" s="196">
        <v>143674</v>
      </c>
      <c r="AQ16" s="196">
        <v>147420</v>
      </c>
      <c r="AR16" s="196">
        <v>152626</v>
      </c>
      <c r="AS16" s="200">
        <v>158368</v>
      </c>
    </row>
    <row r="17" spans="1:45" ht="15" customHeight="1" x14ac:dyDescent="0.2">
      <c r="A17" s="226" t="s">
        <v>526</v>
      </c>
      <c r="B17" s="253">
        <v>13551</v>
      </c>
      <c r="C17" s="253">
        <v>13708</v>
      </c>
      <c r="D17" s="253">
        <v>13988</v>
      </c>
      <c r="E17" s="253">
        <v>14485</v>
      </c>
      <c r="F17" s="253">
        <v>14743</v>
      </c>
      <c r="G17" s="539">
        <v>15290</v>
      </c>
      <c r="H17" s="539">
        <v>15465</v>
      </c>
      <c r="I17" s="539">
        <v>15433</v>
      </c>
      <c r="J17" s="254">
        <v>15519</v>
      </c>
      <c r="K17" s="254">
        <v>15593</v>
      </c>
      <c r="L17" s="254">
        <v>15697</v>
      </c>
      <c r="M17" s="254">
        <v>15876</v>
      </c>
      <c r="N17" s="254">
        <v>16228</v>
      </c>
      <c r="O17" s="254">
        <v>16490</v>
      </c>
      <c r="P17" s="254">
        <v>16744</v>
      </c>
      <c r="Q17" s="254">
        <v>17259</v>
      </c>
      <c r="R17" s="254">
        <v>17770</v>
      </c>
      <c r="S17" s="254">
        <v>18003</v>
      </c>
      <c r="T17" s="254">
        <v>18243</v>
      </c>
      <c r="U17" s="254">
        <v>18508</v>
      </c>
      <c r="V17" s="254">
        <v>18714</v>
      </c>
      <c r="W17" s="254">
        <v>19153</v>
      </c>
      <c r="X17" s="254">
        <v>20208</v>
      </c>
      <c r="Y17" s="254">
        <v>20181</v>
      </c>
      <c r="Z17" s="254">
        <v>20344</v>
      </c>
      <c r="AA17" s="254">
        <v>20674</v>
      </c>
      <c r="AB17" s="254">
        <v>21208</v>
      </c>
      <c r="AC17" s="254">
        <v>19687</v>
      </c>
      <c r="AD17" s="254">
        <v>19564</v>
      </c>
      <c r="AE17" s="254">
        <v>19825</v>
      </c>
      <c r="AF17" s="254">
        <v>19852</v>
      </c>
      <c r="AG17" s="254">
        <v>19548</v>
      </c>
      <c r="AH17" s="254">
        <v>19966</v>
      </c>
      <c r="AI17" s="254">
        <v>20530</v>
      </c>
      <c r="AJ17" s="196">
        <v>20864</v>
      </c>
      <c r="AK17" s="196">
        <v>20915</v>
      </c>
      <c r="AL17" s="196">
        <v>21435</v>
      </c>
      <c r="AM17" s="196">
        <v>22107</v>
      </c>
      <c r="AN17" s="196">
        <v>22485</v>
      </c>
      <c r="AO17" s="196">
        <v>22478</v>
      </c>
      <c r="AP17" s="196">
        <v>22670</v>
      </c>
      <c r="AQ17" s="196">
        <v>22184</v>
      </c>
      <c r="AR17" s="196">
        <v>22260</v>
      </c>
      <c r="AS17" s="200">
        <v>22692</v>
      </c>
    </row>
    <row r="18" spans="1:45" ht="15" customHeight="1" x14ac:dyDescent="0.2">
      <c r="A18" s="226" t="s">
        <v>527</v>
      </c>
      <c r="B18" s="253">
        <v>2320</v>
      </c>
      <c r="C18" s="253">
        <v>2363</v>
      </c>
      <c r="D18" s="253">
        <v>2418</v>
      </c>
      <c r="E18" s="253">
        <v>2491</v>
      </c>
      <c r="F18" s="253">
        <v>2527</v>
      </c>
      <c r="G18" s="539">
        <v>2592</v>
      </c>
      <c r="H18" s="539">
        <v>2668</v>
      </c>
      <c r="I18" s="539">
        <v>2706</v>
      </c>
      <c r="J18" s="254">
        <v>2740</v>
      </c>
      <c r="K18" s="254">
        <v>2785</v>
      </c>
      <c r="L18" s="254">
        <v>2865</v>
      </c>
      <c r="M18" s="254">
        <v>3024</v>
      </c>
      <c r="N18" s="254">
        <v>3142</v>
      </c>
      <c r="O18" s="254">
        <v>3317</v>
      </c>
      <c r="P18" s="254">
        <v>3483</v>
      </c>
      <c r="Q18" s="254">
        <v>3724</v>
      </c>
      <c r="R18" s="254">
        <v>3891</v>
      </c>
      <c r="S18" s="254">
        <v>4096</v>
      </c>
      <c r="T18" s="254">
        <v>4329</v>
      </c>
      <c r="U18" s="254">
        <v>4571</v>
      </c>
      <c r="V18" s="254">
        <v>4663</v>
      </c>
      <c r="W18" s="254">
        <v>4885</v>
      </c>
      <c r="X18" s="254">
        <v>5165</v>
      </c>
      <c r="Y18" s="254">
        <v>5449</v>
      </c>
      <c r="Z18" s="254">
        <v>5623</v>
      </c>
      <c r="AA18" s="254">
        <v>5738</v>
      </c>
      <c r="AB18" s="254">
        <v>5762</v>
      </c>
      <c r="AC18" s="254">
        <v>5900</v>
      </c>
      <c r="AD18" s="254">
        <v>6081</v>
      </c>
      <c r="AE18" s="254">
        <v>6267</v>
      </c>
      <c r="AF18" s="254">
        <v>6502</v>
      </c>
      <c r="AG18" s="254">
        <v>6708</v>
      </c>
      <c r="AH18" s="254">
        <v>6921</v>
      </c>
      <c r="AI18" s="254">
        <v>6968</v>
      </c>
      <c r="AJ18" s="196">
        <v>6984</v>
      </c>
      <c r="AK18" s="196">
        <v>6893</v>
      </c>
      <c r="AL18" s="196">
        <v>6820</v>
      </c>
      <c r="AM18" s="196">
        <v>6725</v>
      </c>
      <c r="AN18" s="196">
        <v>7470</v>
      </c>
      <c r="AO18" s="196">
        <v>7502</v>
      </c>
      <c r="AP18" s="196">
        <v>7431</v>
      </c>
      <c r="AQ18" s="196">
        <v>7357</v>
      </c>
      <c r="AR18" s="196">
        <v>7420</v>
      </c>
      <c r="AS18" s="200">
        <v>7563</v>
      </c>
    </row>
    <row r="19" spans="1:45" s="545" customFormat="1" ht="5.0999999999999996" customHeight="1" x14ac:dyDescent="0.2">
      <c r="A19" s="226"/>
      <c r="B19" s="253"/>
      <c r="C19" s="253"/>
      <c r="D19" s="253"/>
      <c r="E19" s="253"/>
      <c r="F19" s="253"/>
      <c r="G19" s="253"/>
      <c r="H19" s="226"/>
      <c r="I19" s="226"/>
      <c r="J19" s="254"/>
      <c r="K19" s="254"/>
      <c r="L19" s="254"/>
      <c r="M19" s="254"/>
      <c r="N19" s="254"/>
      <c r="O19" s="254"/>
      <c r="P19" s="254"/>
      <c r="Q19" s="254"/>
      <c r="R19" s="254"/>
      <c r="S19" s="254"/>
      <c r="T19" s="254"/>
      <c r="U19" s="254"/>
      <c r="V19" s="254"/>
      <c r="W19" s="254"/>
      <c r="X19" s="254"/>
      <c r="Y19" s="254"/>
      <c r="Z19" s="254"/>
      <c r="AA19" s="254"/>
      <c r="AB19" s="254"/>
      <c r="AC19" s="254"/>
      <c r="AD19" s="254"/>
      <c r="AE19" s="254"/>
      <c r="AF19" s="254"/>
      <c r="AG19" s="254"/>
      <c r="AH19" s="254"/>
      <c r="AI19" s="254"/>
      <c r="AJ19" s="196"/>
      <c r="AK19" s="196"/>
      <c r="AL19" s="196"/>
      <c r="AM19" s="196"/>
      <c r="AN19" s="196"/>
      <c r="AO19" s="196"/>
      <c r="AP19" s="557"/>
      <c r="AQ19" s="557"/>
      <c r="AR19" s="557"/>
      <c r="AS19" s="577"/>
    </row>
    <row r="20" spans="1:45" s="540" customFormat="1" ht="15" customHeight="1" thickBot="1" x14ac:dyDescent="0.25">
      <c r="A20" s="175" t="s">
        <v>10</v>
      </c>
      <c r="B20" s="176">
        <f t="shared" ref="B20:AL20" si="0">SUM(B10:B19)</f>
        <v>50653</v>
      </c>
      <c r="C20" s="176">
        <f t="shared" si="0"/>
        <v>52900</v>
      </c>
      <c r="D20" s="176">
        <f t="shared" si="0"/>
        <v>55319</v>
      </c>
      <c r="E20" s="176">
        <f t="shared" si="0"/>
        <v>58526</v>
      </c>
      <c r="F20" s="176">
        <f t="shared" si="0"/>
        <v>59722</v>
      </c>
      <c r="G20" s="176">
        <f t="shared" si="0"/>
        <v>62068</v>
      </c>
      <c r="H20" s="176">
        <f t="shared" si="0"/>
        <v>62888</v>
      </c>
      <c r="I20" s="176">
        <f t="shared" si="0"/>
        <v>64587</v>
      </c>
      <c r="J20" s="176">
        <f t="shared" si="0"/>
        <v>66673</v>
      </c>
      <c r="K20" s="176">
        <f t="shared" si="0"/>
        <v>68829</v>
      </c>
      <c r="L20" s="176">
        <f t="shared" si="0"/>
        <v>71401</v>
      </c>
      <c r="M20" s="176">
        <f t="shared" si="0"/>
        <v>75572</v>
      </c>
      <c r="N20" s="176">
        <f t="shared" si="0"/>
        <v>77685</v>
      </c>
      <c r="O20" s="176">
        <f t="shared" si="0"/>
        <v>79308</v>
      </c>
      <c r="P20" s="176">
        <f t="shared" si="0"/>
        <v>82363</v>
      </c>
      <c r="Q20" s="176">
        <f t="shared" si="0"/>
        <v>87177</v>
      </c>
      <c r="R20" s="176">
        <f t="shared" si="0"/>
        <v>89980</v>
      </c>
      <c r="S20" s="176">
        <f t="shared" si="0"/>
        <v>93938</v>
      </c>
      <c r="T20" s="176">
        <f t="shared" si="0"/>
        <v>97099</v>
      </c>
      <c r="U20" s="176">
        <f t="shared" si="0"/>
        <v>103653</v>
      </c>
      <c r="V20" s="176">
        <f t="shared" si="0"/>
        <v>106953</v>
      </c>
      <c r="W20" s="176">
        <f t="shared" si="0"/>
        <v>111789</v>
      </c>
      <c r="X20" s="176">
        <f t="shared" si="0"/>
        <v>117808</v>
      </c>
      <c r="Y20" s="176">
        <f t="shared" si="0"/>
        <v>124217</v>
      </c>
      <c r="Z20" s="176">
        <f t="shared" si="0"/>
        <v>127367</v>
      </c>
      <c r="AA20" s="176">
        <f t="shared" si="0"/>
        <v>131819</v>
      </c>
      <c r="AB20" s="176">
        <f t="shared" si="0"/>
        <v>133554</v>
      </c>
      <c r="AC20" s="176">
        <f t="shared" si="0"/>
        <v>136229</v>
      </c>
      <c r="AD20" s="176">
        <f t="shared" si="0"/>
        <v>137751</v>
      </c>
      <c r="AE20" s="176">
        <f t="shared" si="0"/>
        <v>142732</v>
      </c>
      <c r="AF20" s="176">
        <f t="shared" si="0"/>
        <v>145969</v>
      </c>
      <c r="AG20" s="176">
        <f t="shared" si="0"/>
        <v>153267</v>
      </c>
      <c r="AH20" s="176">
        <f t="shared" si="0"/>
        <v>157295</v>
      </c>
      <c r="AI20" s="176">
        <f t="shared" si="0"/>
        <v>164566</v>
      </c>
      <c r="AJ20" s="176">
        <f t="shared" si="0"/>
        <v>168629</v>
      </c>
      <c r="AK20" s="176">
        <f t="shared" si="0"/>
        <v>177834</v>
      </c>
      <c r="AL20" s="176">
        <f t="shared" si="0"/>
        <v>182973</v>
      </c>
      <c r="AM20" s="176">
        <f t="shared" ref="AM20:AR20" si="1">SUM(AM10:AM19)</f>
        <v>190649</v>
      </c>
      <c r="AN20" s="176">
        <f t="shared" si="1"/>
        <v>213608</v>
      </c>
      <c r="AO20" s="176">
        <f t="shared" si="1"/>
        <v>223342</v>
      </c>
      <c r="AP20" s="176">
        <f t="shared" si="1"/>
        <v>229433</v>
      </c>
      <c r="AQ20" s="176">
        <f t="shared" si="1"/>
        <v>233640</v>
      </c>
      <c r="AR20" s="176">
        <f t="shared" si="1"/>
        <v>239287</v>
      </c>
      <c r="AS20" s="375">
        <f t="shared" ref="AS20" si="2">SUM(AS10:AS19)</f>
        <v>246653</v>
      </c>
    </row>
    <row r="21" spans="1:45" s="545" customFormat="1" ht="15" customHeight="1" thickTop="1" x14ac:dyDescent="0.2">
      <c r="F21" s="93"/>
    </row>
    <row r="22" spans="1:45" s="545" customFormat="1" ht="15" customHeight="1" x14ac:dyDescent="0.2">
      <c r="F22" s="93"/>
    </row>
    <row r="23" spans="1:45" s="545" customFormat="1" ht="15" customHeight="1" x14ac:dyDescent="0.2">
      <c r="F23" s="93"/>
    </row>
    <row r="24" spans="1:45" s="545" customFormat="1" ht="15" customHeight="1" x14ac:dyDescent="0.2">
      <c r="F24" s="93"/>
    </row>
    <row r="25" spans="1:45" s="545" customFormat="1" ht="15" customHeight="1" x14ac:dyDescent="0.2">
      <c r="F25" s="93"/>
    </row>
    <row r="26" spans="1:45" s="545" customFormat="1" ht="15" customHeight="1" x14ac:dyDescent="0.2">
      <c r="F26" s="93"/>
    </row>
    <row r="27" spans="1:45" s="545" customFormat="1" ht="15" customHeight="1" x14ac:dyDescent="0.2">
      <c r="F27" s="93"/>
    </row>
    <row r="28" spans="1:45" s="545" customFormat="1" ht="15" customHeight="1" x14ac:dyDescent="0.2">
      <c r="F28" s="93"/>
    </row>
    <row r="29" spans="1:45" s="545" customFormat="1" ht="15" customHeight="1" x14ac:dyDescent="0.2">
      <c r="F29" s="93"/>
    </row>
    <row r="30" spans="1:45" s="545" customFormat="1" ht="15" customHeight="1" x14ac:dyDescent="0.2">
      <c r="F30" s="93"/>
    </row>
    <row r="31" spans="1:45" s="545" customFormat="1" ht="15" customHeight="1" x14ac:dyDescent="0.2">
      <c r="F31" s="93"/>
    </row>
    <row r="32" spans="1:45" s="545" customFormat="1" ht="15" customHeight="1" x14ac:dyDescent="0.2">
      <c r="F32" s="93"/>
    </row>
    <row r="33" spans="30:30" s="545" customFormat="1" ht="15" customHeight="1" x14ac:dyDescent="0.2">
      <c r="AD33" s="93"/>
    </row>
    <row r="34" spans="30:30" s="545" customFormat="1" ht="15" customHeight="1" x14ac:dyDescent="0.2">
      <c r="AD34" s="93"/>
    </row>
    <row r="35" spans="30:30" s="545" customFormat="1" ht="15" customHeight="1" x14ac:dyDescent="0.2">
      <c r="AD35" s="93"/>
    </row>
    <row r="36" spans="30:30" s="545" customFormat="1" ht="15" customHeight="1" x14ac:dyDescent="0.2">
      <c r="AD36" s="93"/>
    </row>
    <row r="37" spans="30:30" s="545" customFormat="1" ht="15" customHeight="1" x14ac:dyDescent="0.2">
      <c r="AD37" s="93"/>
    </row>
    <row r="38" spans="30:30" s="545" customFormat="1" ht="15" customHeight="1" x14ac:dyDescent="0.2">
      <c r="AD38" s="93"/>
    </row>
    <row r="39" spans="30:30" s="545" customFormat="1" ht="15" customHeight="1" x14ac:dyDescent="0.2">
      <c r="AD39" s="93"/>
    </row>
    <row r="40" spans="30:30" s="545" customFormat="1" ht="15" customHeight="1" x14ac:dyDescent="0.2">
      <c r="AD40" s="93"/>
    </row>
    <row r="41" spans="30:30" s="545" customFormat="1" ht="15" customHeight="1" x14ac:dyDescent="0.2">
      <c r="AD41" s="93"/>
    </row>
    <row r="42" spans="30:30" s="545" customFormat="1" ht="15" customHeight="1" x14ac:dyDescent="0.2">
      <c r="AD42" s="93"/>
    </row>
    <row r="43" spans="30:30" s="545" customFormat="1" ht="15" customHeight="1" x14ac:dyDescent="0.2">
      <c r="AD43" s="93"/>
    </row>
    <row r="44" spans="30:30" s="545" customFormat="1" ht="15" customHeight="1" x14ac:dyDescent="0.2">
      <c r="AD44" s="93"/>
    </row>
    <row r="45" spans="30:30" s="545" customFormat="1" ht="15" customHeight="1" x14ac:dyDescent="0.2">
      <c r="AD45" s="93"/>
    </row>
    <row r="46" spans="30:30" s="545" customFormat="1" ht="15" customHeight="1" x14ac:dyDescent="0.2">
      <c r="AD46" s="93"/>
    </row>
    <row r="47" spans="30:30" s="545" customFormat="1" ht="15" customHeight="1" x14ac:dyDescent="0.2">
      <c r="AD47" s="93"/>
    </row>
    <row r="48" spans="30:30" s="545" customFormat="1" ht="15" customHeight="1" x14ac:dyDescent="0.2">
      <c r="AD48" s="93"/>
    </row>
    <row r="49" spans="30:30" s="545" customFormat="1" ht="15" customHeight="1" x14ac:dyDescent="0.2">
      <c r="AD49" s="93"/>
    </row>
    <row r="50" spans="30:30" s="545" customFormat="1" ht="15" customHeight="1" x14ac:dyDescent="0.2">
      <c r="AD50" s="93"/>
    </row>
    <row r="51" spans="30:30" s="545" customFormat="1" ht="15" customHeight="1" x14ac:dyDescent="0.2">
      <c r="AD51" s="93"/>
    </row>
    <row r="52" spans="30:30" s="545" customFormat="1" ht="15" customHeight="1" x14ac:dyDescent="0.2">
      <c r="AD52" s="93"/>
    </row>
    <row r="53" spans="30:30" s="545" customFormat="1" ht="15" customHeight="1" x14ac:dyDescent="0.2">
      <c r="AD53" s="93"/>
    </row>
    <row r="54" spans="30:30" s="545" customFormat="1" ht="15" customHeight="1" x14ac:dyDescent="0.2">
      <c r="AD54" s="93"/>
    </row>
    <row r="55" spans="30:30" s="545" customFormat="1" ht="15" customHeight="1" x14ac:dyDescent="0.2">
      <c r="AD55" s="93"/>
    </row>
    <row r="56" spans="30:30" s="545" customFormat="1" ht="15" customHeight="1" x14ac:dyDescent="0.2">
      <c r="AD56" s="93"/>
    </row>
    <row r="57" spans="30:30" s="545" customFormat="1" ht="15" customHeight="1" x14ac:dyDescent="0.2">
      <c r="AD57" s="93"/>
    </row>
    <row r="58" spans="30:30" s="545" customFormat="1" ht="15" customHeight="1" x14ac:dyDescent="0.2">
      <c r="AD58" s="93"/>
    </row>
    <row r="59" spans="30:30" s="545" customFormat="1" ht="15" customHeight="1" x14ac:dyDescent="0.2">
      <c r="AD59" s="93"/>
    </row>
    <row r="60" spans="30:30" s="545" customFormat="1" ht="15" customHeight="1" x14ac:dyDescent="0.2">
      <c r="AD60" s="93"/>
    </row>
    <row r="61" spans="30:30" s="545" customFormat="1" ht="15" customHeight="1" x14ac:dyDescent="0.2">
      <c r="AD61" s="93"/>
    </row>
    <row r="62" spans="30:30" s="545" customFormat="1" ht="15" customHeight="1" x14ac:dyDescent="0.2">
      <c r="AD62" s="93"/>
    </row>
    <row r="63" spans="30:30" s="545" customFormat="1" ht="15" customHeight="1" x14ac:dyDescent="0.2">
      <c r="AD63" s="93"/>
    </row>
    <row r="64" spans="30:30" s="545" customFormat="1" ht="15" customHeight="1" x14ac:dyDescent="0.2">
      <c r="AD64" s="93"/>
    </row>
    <row r="65" spans="30:30" s="545" customFormat="1" ht="15" customHeight="1" x14ac:dyDescent="0.2">
      <c r="AD65" s="93"/>
    </row>
    <row r="66" spans="30:30" s="545" customFormat="1" ht="15" customHeight="1" x14ac:dyDescent="0.2">
      <c r="AD66" s="93"/>
    </row>
    <row r="67" spans="30:30" s="545" customFormat="1" ht="15" customHeight="1" x14ac:dyDescent="0.2">
      <c r="AD67" s="93"/>
    </row>
    <row r="68" spans="30:30" s="545" customFormat="1" ht="15" customHeight="1" x14ac:dyDescent="0.2">
      <c r="AD68" s="93"/>
    </row>
    <row r="69" spans="30:30" s="545" customFormat="1" ht="15" customHeight="1" x14ac:dyDescent="0.2">
      <c r="AD69" s="93"/>
    </row>
    <row r="70" spans="30:30" s="545" customFormat="1" ht="15" customHeight="1" x14ac:dyDescent="0.2">
      <c r="AD70" s="93"/>
    </row>
    <row r="71" spans="30:30" s="545" customFormat="1" ht="15" customHeight="1" x14ac:dyDescent="0.2">
      <c r="AD71" s="93"/>
    </row>
    <row r="72" spans="30:30" s="545" customFormat="1" ht="15" customHeight="1" x14ac:dyDescent="0.2">
      <c r="AD72" s="93"/>
    </row>
    <row r="73" spans="30:30" s="545" customFormat="1" ht="15" customHeight="1" x14ac:dyDescent="0.2">
      <c r="AD73" s="93"/>
    </row>
    <row r="74" spans="30:30" s="545" customFormat="1" ht="15" customHeight="1" x14ac:dyDescent="0.2">
      <c r="AD74" s="93"/>
    </row>
    <row r="75" spans="30:30" s="545" customFormat="1" ht="15" customHeight="1" x14ac:dyDescent="0.2">
      <c r="AD75" s="93"/>
    </row>
    <row r="76" spans="30:30" s="545" customFormat="1" ht="15" customHeight="1" x14ac:dyDescent="0.2">
      <c r="AD76" s="93"/>
    </row>
    <row r="77" spans="30:30" s="545" customFormat="1" ht="15" customHeight="1" x14ac:dyDescent="0.2">
      <c r="AD77" s="93"/>
    </row>
    <row r="78" spans="30:30" s="545" customFormat="1" ht="15" customHeight="1" x14ac:dyDescent="0.2">
      <c r="AD78" s="93"/>
    </row>
    <row r="79" spans="30:30" s="545" customFormat="1" ht="15" customHeight="1" x14ac:dyDescent="0.2">
      <c r="AD79" s="93"/>
    </row>
    <row r="80" spans="30:30" s="545" customFormat="1" ht="15" customHeight="1" x14ac:dyDescent="0.2">
      <c r="AD80" s="93"/>
    </row>
    <row r="81" spans="30:30" s="545" customFormat="1" ht="15" customHeight="1" x14ac:dyDescent="0.2">
      <c r="AD81" s="93"/>
    </row>
    <row r="82" spans="30:30" s="545" customFormat="1" ht="15" customHeight="1" x14ac:dyDescent="0.2">
      <c r="AD82" s="93"/>
    </row>
    <row r="83" spans="30:30" s="545" customFormat="1" ht="15" customHeight="1" x14ac:dyDescent="0.2">
      <c r="AD83" s="93"/>
    </row>
    <row r="84" spans="30:30" s="545" customFormat="1" ht="15" customHeight="1" x14ac:dyDescent="0.2">
      <c r="AD84" s="93"/>
    </row>
    <row r="85" spans="30:30" s="545" customFormat="1" ht="15" customHeight="1" x14ac:dyDescent="0.2">
      <c r="AD85" s="93"/>
    </row>
    <row r="86" spans="30:30" s="545" customFormat="1" ht="15" customHeight="1" x14ac:dyDescent="0.2">
      <c r="AD86" s="93"/>
    </row>
    <row r="87" spans="30:30" s="545" customFormat="1" ht="15" customHeight="1" x14ac:dyDescent="0.2">
      <c r="AD87" s="93"/>
    </row>
    <row r="88" spans="30:30" s="545" customFormat="1" ht="15" customHeight="1" x14ac:dyDescent="0.2">
      <c r="AD88" s="93"/>
    </row>
    <row r="89" spans="30:30" s="545" customFormat="1" ht="15" customHeight="1" x14ac:dyDescent="0.2">
      <c r="AD89" s="93"/>
    </row>
    <row r="90" spans="30:30" s="545" customFormat="1" ht="15" customHeight="1" x14ac:dyDescent="0.2">
      <c r="AD90" s="93"/>
    </row>
    <row r="91" spans="30:30" s="545" customFormat="1" ht="15" customHeight="1" x14ac:dyDescent="0.2">
      <c r="AD91" s="93"/>
    </row>
    <row r="92" spans="30:30" s="545" customFormat="1" ht="15" customHeight="1" x14ac:dyDescent="0.2">
      <c r="AD92" s="93"/>
    </row>
    <row r="93" spans="30:30" s="545" customFormat="1" ht="15" customHeight="1" x14ac:dyDescent="0.2">
      <c r="AD93" s="93"/>
    </row>
    <row r="94" spans="30:30" s="545" customFormat="1" ht="15" customHeight="1" x14ac:dyDescent="0.2">
      <c r="AD94" s="93"/>
    </row>
    <row r="95" spans="30:30" s="545" customFormat="1" ht="15" customHeight="1" x14ac:dyDescent="0.2">
      <c r="AD95" s="93"/>
    </row>
    <row r="96" spans="30:30" s="545" customFormat="1" ht="15" customHeight="1" x14ac:dyDescent="0.2">
      <c r="AD96" s="93"/>
    </row>
    <row r="97" spans="30:30" s="545" customFormat="1" ht="15" customHeight="1" x14ac:dyDescent="0.2">
      <c r="AD97" s="93"/>
    </row>
    <row r="98" spans="30:30" s="545" customFormat="1" ht="15" customHeight="1" x14ac:dyDescent="0.2">
      <c r="AD98" s="93"/>
    </row>
    <row r="99" spans="30:30" s="545" customFormat="1" ht="15" customHeight="1" x14ac:dyDescent="0.2">
      <c r="AD99" s="93"/>
    </row>
    <row r="100" spans="30:30" s="545" customFormat="1" ht="15" customHeight="1" x14ac:dyDescent="0.2">
      <c r="AD100" s="93"/>
    </row>
    <row r="101" spans="30:30" s="545" customFormat="1" ht="15" customHeight="1" x14ac:dyDescent="0.2">
      <c r="AD101" s="93"/>
    </row>
    <row r="102" spans="30:30" s="545" customFormat="1" ht="15" customHeight="1" x14ac:dyDescent="0.2">
      <c r="AD102" s="93"/>
    </row>
    <row r="103" spans="30:30" s="545" customFormat="1" ht="15" customHeight="1" x14ac:dyDescent="0.2">
      <c r="AD103" s="93"/>
    </row>
    <row r="104" spans="30:30" s="545" customFormat="1" ht="15" customHeight="1" x14ac:dyDescent="0.2">
      <c r="AD104" s="93"/>
    </row>
    <row r="105" spans="30:30" s="545" customFormat="1" ht="15" customHeight="1" x14ac:dyDescent="0.2">
      <c r="AD105" s="93"/>
    </row>
  </sheetData>
  <hyperlinks>
    <hyperlink ref="AS6" location="Índex!E9" display="Índex"/>
  </hyperlinks>
  <printOptions horizontalCentered="1"/>
  <pageMargins left="0" right="0" top="0.39370078740157483" bottom="0" header="0" footer="0"/>
  <pageSetup paperSize="9" orientation="landscape" r:id="rId1"/>
  <headerFooter alignWithMargins="0">
    <oddHeader>&amp;R&amp;P/&amp;N</oddHeader>
  </headerFooter>
  <colBreaks count="5" manualBreakCount="5">
    <brk id="9" min="1" max="20" man="1"/>
    <brk id="17" min="1" max="20" man="1"/>
    <brk id="25" min="1" max="20" man="1"/>
    <brk id="33" min="1" max="20" man="1"/>
    <brk id="41" min="1" max="20" man="1"/>
  </colBreaks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I108"/>
  <sheetViews>
    <sheetView showGridLines="0" zoomScaleNormal="100" workbookViewId="0">
      <pane xSplit="1" ySplit="8" topLeftCell="B9" activePane="bottomRight" state="frozen"/>
      <selection activeCell="E9" sqref="E9"/>
      <selection pane="topRight" activeCell="E9" sqref="E9"/>
      <selection pane="bottomLeft" activeCell="E9" sqref="E9"/>
      <selection pane="bottomRight" activeCell="E9" sqref="E9"/>
    </sheetView>
  </sheetViews>
  <sheetFormatPr defaultColWidth="10.7109375" defaultRowHeight="15" customHeight="1" x14ac:dyDescent="0.2"/>
  <cols>
    <col min="1" max="1" width="74.140625" style="82" bestFit="1" customWidth="1"/>
    <col min="2" max="16384" width="10.7109375" style="82"/>
  </cols>
  <sheetData>
    <row r="1" spans="1:217" s="600" customFormat="1" ht="15" customHeight="1" x14ac:dyDescent="0.2">
      <c r="A1" s="595"/>
      <c r="B1" s="596"/>
      <c r="C1" s="596"/>
      <c r="D1" s="596"/>
      <c r="E1" s="596"/>
      <c r="F1" s="596"/>
      <c r="G1" s="597"/>
      <c r="H1" s="596"/>
      <c r="I1" s="598"/>
      <c r="J1" s="598"/>
      <c r="K1" s="598"/>
      <c r="L1" s="598"/>
      <c r="M1" s="598"/>
      <c r="N1" s="598"/>
      <c r="O1" s="598"/>
      <c r="P1" s="598"/>
      <c r="Q1" s="598"/>
      <c r="R1" s="598"/>
      <c r="S1" s="598"/>
      <c r="T1" s="598"/>
      <c r="U1" s="598"/>
      <c r="V1" s="598"/>
      <c r="W1" s="598"/>
      <c r="X1" s="598"/>
      <c r="Y1" s="598"/>
      <c r="Z1" s="598"/>
      <c r="AA1" s="598"/>
      <c r="AB1" s="598"/>
      <c r="AC1" s="598"/>
      <c r="AD1" s="598"/>
      <c r="AE1" s="598"/>
      <c r="AF1" s="598"/>
      <c r="AG1" s="598"/>
      <c r="AH1" s="598"/>
      <c r="AI1" s="598"/>
      <c r="AJ1" s="598"/>
      <c r="AK1" s="598"/>
      <c r="AL1" s="598"/>
      <c r="AM1" s="598"/>
      <c r="AN1" s="598"/>
      <c r="AO1" s="598"/>
      <c r="AP1" s="598"/>
      <c r="AQ1" s="598"/>
      <c r="AR1" s="599"/>
      <c r="AS1" s="598"/>
      <c r="AT1" s="599"/>
      <c r="AU1" s="598"/>
      <c r="AV1" s="599"/>
      <c r="AW1" s="598"/>
      <c r="AX1" s="599"/>
      <c r="AY1" s="598"/>
      <c r="AZ1" s="599"/>
      <c r="BA1" s="598"/>
      <c r="BB1" s="599"/>
      <c r="BC1" s="598"/>
      <c r="BD1" s="599"/>
      <c r="BE1" s="598"/>
      <c r="BF1" s="599"/>
      <c r="BG1" s="598"/>
      <c r="BH1" s="599"/>
      <c r="BI1" s="598"/>
      <c r="BJ1" s="599"/>
      <c r="BK1" s="598"/>
      <c r="BL1" s="599"/>
      <c r="BM1" s="598"/>
      <c r="BN1" s="599"/>
      <c r="BO1" s="598"/>
      <c r="BP1" s="599"/>
      <c r="BQ1" s="598"/>
      <c r="BR1" s="599"/>
      <c r="BS1" s="598"/>
      <c r="BT1" s="599"/>
      <c r="BU1" s="598"/>
      <c r="BV1" s="599"/>
      <c r="BW1" s="598"/>
      <c r="BX1" s="599"/>
      <c r="BY1" s="597"/>
      <c r="BZ1" s="597"/>
      <c r="CA1" s="598"/>
      <c r="CB1" s="599"/>
      <c r="CC1" s="596"/>
      <c r="CD1" s="596"/>
      <c r="CE1" s="596"/>
      <c r="CF1" s="596"/>
      <c r="CG1" s="596"/>
      <c r="CH1" s="599"/>
      <c r="CI1" s="596"/>
      <c r="CJ1" s="599"/>
      <c r="CK1" s="596"/>
      <c r="CL1" s="596"/>
      <c r="CM1" s="596"/>
      <c r="CN1" s="595"/>
      <c r="CO1" s="595"/>
      <c r="CP1" s="598"/>
      <c r="CQ1" s="599"/>
      <c r="CR1" s="598"/>
      <c r="CS1" s="599"/>
      <c r="CT1" s="598"/>
      <c r="CU1" s="599"/>
      <c r="CV1" s="598"/>
      <c r="CW1" s="599"/>
      <c r="CX1" s="598"/>
      <c r="CY1" s="599"/>
      <c r="CZ1" s="598"/>
      <c r="DA1" s="599"/>
      <c r="DB1" s="598"/>
      <c r="DC1" s="599"/>
      <c r="DD1" s="598"/>
      <c r="DE1" s="599"/>
      <c r="DF1" s="598"/>
      <c r="DG1" s="599"/>
      <c r="DH1" s="598"/>
      <c r="DI1" s="599"/>
      <c r="DJ1" s="598"/>
      <c r="DK1" s="599"/>
      <c r="DL1" s="598"/>
      <c r="DM1" s="599"/>
      <c r="DN1" s="598"/>
      <c r="DO1" s="599"/>
      <c r="DP1" s="598"/>
      <c r="DQ1" s="599"/>
      <c r="DR1" s="598"/>
      <c r="DS1" s="599"/>
      <c r="DT1" s="598"/>
      <c r="DU1" s="599"/>
      <c r="DV1" s="598"/>
      <c r="DW1" s="599"/>
      <c r="DX1" s="598"/>
      <c r="DY1" s="599"/>
      <c r="DZ1" s="598"/>
      <c r="EA1" s="599"/>
      <c r="EB1" s="598"/>
      <c r="EC1" s="599"/>
      <c r="ED1" s="597"/>
      <c r="EE1" s="597"/>
      <c r="EF1" s="598"/>
      <c r="EG1" s="599"/>
      <c r="EH1" s="596"/>
      <c r="EI1" s="596"/>
      <c r="EJ1" s="596"/>
      <c r="EK1" s="596"/>
      <c r="EL1" s="596"/>
      <c r="EM1" s="599"/>
      <c r="EN1" s="596"/>
      <c r="EO1" s="599"/>
      <c r="EP1" s="596"/>
      <c r="EQ1" s="596"/>
      <c r="ER1" s="596"/>
      <c r="ES1" s="595"/>
      <c r="ET1" s="595"/>
      <c r="EU1" s="598"/>
      <c r="EV1" s="599"/>
      <c r="EW1" s="598"/>
      <c r="EX1" s="599"/>
      <c r="EY1" s="598"/>
      <c r="EZ1" s="599"/>
      <c r="FA1" s="598"/>
      <c r="FB1" s="599"/>
      <c r="FC1" s="598"/>
      <c r="FD1" s="599"/>
      <c r="FE1" s="598"/>
      <c r="FF1" s="599"/>
      <c r="FG1" s="598"/>
      <c r="FH1" s="599"/>
      <c r="FI1" s="598"/>
      <c r="FJ1" s="599"/>
      <c r="FK1" s="598"/>
      <c r="FL1" s="599"/>
      <c r="FM1" s="598"/>
      <c r="FN1" s="599"/>
      <c r="FO1" s="598"/>
      <c r="FP1" s="599"/>
      <c r="FQ1" s="598"/>
      <c r="FR1" s="599"/>
      <c r="FS1" s="598"/>
      <c r="FT1" s="599"/>
      <c r="FU1" s="598"/>
      <c r="FV1" s="599"/>
      <c r="FW1" s="598"/>
      <c r="FX1" s="599"/>
      <c r="FY1" s="598"/>
      <c r="FZ1" s="599"/>
      <c r="GA1" s="598"/>
      <c r="GB1" s="599"/>
      <c r="GC1" s="598"/>
      <c r="GD1" s="599"/>
      <c r="GE1" s="598"/>
      <c r="GF1" s="599"/>
      <c r="GG1" s="598"/>
      <c r="GH1" s="599"/>
      <c r="GI1" s="597"/>
      <c r="GJ1" s="597"/>
      <c r="GK1" s="598"/>
      <c r="GL1" s="599"/>
      <c r="GM1" s="596"/>
      <c r="GN1" s="596"/>
      <c r="GO1" s="596"/>
      <c r="GP1" s="596"/>
      <c r="GQ1" s="596"/>
      <c r="GR1" s="599"/>
      <c r="GS1" s="596"/>
      <c r="GT1" s="599"/>
      <c r="GU1" s="596"/>
      <c r="GV1" s="596"/>
      <c r="GW1" s="596"/>
      <c r="GX1" s="595"/>
      <c r="GY1" s="595"/>
      <c r="GZ1" s="598"/>
      <c r="HA1" s="599"/>
      <c r="HB1" s="598"/>
      <c r="HC1" s="599"/>
      <c r="HD1" s="598"/>
      <c r="HE1" s="599"/>
      <c r="HF1" s="598"/>
      <c r="HG1" s="599"/>
      <c r="HH1" s="598"/>
      <c r="HI1" s="599"/>
    </row>
    <row r="2" spans="1:217" s="600" customFormat="1" ht="15" customHeight="1" x14ac:dyDescent="0.2">
      <c r="A2" s="595"/>
      <c r="B2" s="596"/>
      <c r="C2" s="596"/>
      <c r="D2" s="596"/>
      <c r="E2" s="596"/>
      <c r="F2" s="596"/>
      <c r="G2" s="597"/>
      <c r="H2" s="596"/>
      <c r="I2" s="598"/>
      <c r="J2" s="598"/>
      <c r="K2" s="598"/>
      <c r="L2" s="598"/>
      <c r="M2" s="598"/>
      <c r="N2" s="598"/>
      <c r="O2" s="598"/>
      <c r="P2" s="598"/>
      <c r="Q2" s="598"/>
      <c r="R2" s="598"/>
      <c r="S2" s="598"/>
      <c r="T2" s="598"/>
      <c r="U2" s="598"/>
      <c r="V2" s="598"/>
      <c r="W2" s="598"/>
      <c r="X2" s="598"/>
      <c r="Y2" s="598"/>
      <c r="Z2" s="598"/>
      <c r="AA2" s="598"/>
      <c r="AB2" s="598"/>
      <c r="AC2" s="598"/>
      <c r="AD2" s="598"/>
      <c r="AE2" s="598"/>
      <c r="AF2" s="598"/>
      <c r="AG2" s="598"/>
      <c r="AH2" s="598"/>
      <c r="AI2" s="598"/>
      <c r="AJ2" s="598"/>
      <c r="AK2" s="598"/>
      <c r="AL2" s="598"/>
      <c r="AM2" s="598"/>
      <c r="AN2" s="598"/>
      <c r="AO2" s="598"/>
      <c r="AP2" s="598"/>
      <c r="AQ2" s="598"/>
      <c r="AR2" s="599"/>
      <c r="AS2" s="598"/>
      <c r="AT2" s="599"/>
      <c r="AU2" s="598"/>
      <c r="AV2" s="599"/>
      <c r="AW2" s="598"/>
      <c r="AX2" s="599"/>
      <c r="AY2" s="598"/>
      <c r="AZ2" s="599"/>
      <c r="BA2" s="598"/>
      <c r="BB2" s="599"/>
      <c r="BC2" s="598"/>
      <c r="BD2" s="599"/>
      <c r="BE2" s="598"/>
      <c r="BF2" s="599"/>
      <c r="BG2" s="598"/>
      <c r="BH2" s="599"/>
      <c r="BI2" s="598"/>
      <c r="BJ2" s="599"/>
      <c r="BK2" s="598"/>
      <c r="BL2" s="599"/>
      <c r="BM2" s="598"/>
      <c r="BN2" s="599"/>
      <c r="BO2" s="598"/>
      <c r="BP2" s="599"/>
      <c r="BQ2" s="598"/>
      <c r="BR2" s="599"/>
      <c r="BS2" s="598"/>
      <c r="BT2" s="599"/>
      <c r="BU2" s="598"/>
      <c r="BV2" s="599"/>
      <c r="BW2" s="598"/>
      <c r="BX2" s="599"/>
      <c r="BY2" s="597"/>
      <c r="BZ2" s="597"/>
      <c r="CA2" s="598"/>
      <c r="CB2" s="599"/>
      <c r="CC2" s="596"/>
      <c r="CD2" s="596"/>
      <c r="CE2" s="596"/>
      <c r="CF2" s="596"/>
      <c r="CG2" s="596"/>
      <c r="CH2" s="599"/>
      <c r="CI2" s="596"/>
      <c r="CJ2" s="599"/>
      <c r="CK2" s="596"/>
      <c r="CL2" s="596"/>
      <c r="CM2" s="596"/>
      <c r="CN2" s="595"/>
      <c r="CO2" s="595"/>
      <c r="CP2" s="598"/>
      <c r="CQ2" s="599"/>
      <c r="CR2" s="598"/>
      <c r="CS2" s="599"/>
      <c r="CT2" s="598"/>
      <c r="CU2" s="599"/>
      <c r="CV2" s="598"/>
      <c r="CW2" s="599"/>
      <c r="CX2" s="598"/>
      <c r="CY2" s="599"/>
      <c r="CZ2" s="598"/>
      <c r="DA2" s="599"/>
      <c r="DB2" s="598"/>
      <c r="DC2" s="599"/>
      <c r="DD2" s="598"/>
      <c r="DE2" s="599"/>
      <c r="DF2" s="598"/>
      <c r="DG2" s="599"/>
      <c r="DH2" s="598"/>
      <c r="DI2" s="599"/>
      <c r="DJ2" s="598"/>
      <c r="DK2" s="599"/>
      <c r="DL2" s="598"/>
      <c r="DM2" s="599"/>
      <c r="DN2" s="598"/>
      <c r="DO2" s="599"/>
      <c r="DP2" s="598"/>
      <c r="DQ2" s="599"/>
      <c r="DR2" s="598"/>
      <c r="DS2" s="599"/>
      <c r="DT2" s="598"/>
      <c r="DU2" s="599"/>
      <c r="DV2" s="598"/>
      <c r="DW2" s="599"/>
      <c r="DX2" s="598"/>
      <c r="DY2" s="599"/>
      <c r="DZ2" s="598"/>
      <c r="EA2" s="599"/>
      <c r="EB2" s="598"/>
      <c r="EC2" s="599"/>
      <c r="ED2" s="597"/>
      <c r="EE2" s="597"/>
      <c r="EF2" s="598"/>
      <c r="EG2" s="599"/>
      <c r="EH2" s="596"/>
      <c r="EI2" s="596"/>
      <c r="EJ2" s="596"/>
      <c r="EK2" s="596"/>
      <c r="EL2" s="596"/>
      <c r="EM2" s="599"/>
      <c r="EN2" s="596"/>
      <c r="EO2" s="599"/>
      <c r="EP2" s="596"/>
      <c r="EQ2" s="596"/>
      <c r="ER2" s="596"/>
      <c r="ES2" s="595"/>
      <c r="ET2" s="595"/>
      <c r="EU2" s="598"/>
      <c r="EV2" s="599"/>
      <c r="EW2" s="598"/>
      <c r="EX2" s="599"/>
      <c r="EY2" s="598"/>
      <c r="EZ2" s="599"/>
      <c r="FA2" s="598"/>
      <c r="FB2" s="599"/>
      <c r="FC2" s="598"/>
      <c r="FD2" s="599"/>
      <c r="FE2" s="598"/>
      <c r="FF2" s="599"/>
      <c r="FG2" s="598"/>
      <c r="FH2" s="599"/>
      <c r="FI2" s="598"/>
      <c r="FJ2" s="599"/>
      <c r="FK2" s="598"/>
      <c r="FL2" s="599"/>
      <c r="FM2" s="598"/>
      <c r="FN2" s="599"/>
      <c r="FO2" s="598"/>
      <c r="FP2" s="599"/>
      <c r="FQ2" s="598"/>
      <c r="FR2" s="599"/>
      <c r="FS2" s="598"/>
      <c r="FT2" s="599"/>
      <c r="FU2" s="598"/>
      <c r="FV2" s="599"/>
      <c r="FW2" s="598"/>
      <c r="FX2" s="599"/>
      <c r="FY2" s="598"/>
      <c r="FZ2" s="599"/>
      <c r="GA2" s="598"/>
      <c r="GB2" s="599"/>
      <c r="GC2" s="598"/>
      <c r="GD2" s="599"/>
      <c r="GE2" s="598"/>
      <c r="GF2" s="599"/>
      <c r="GG2" s="598"/>
      <c r="GH2" s="599"/>
      <c r="GI2" s="597"/>
      <c r="GJ2" s="597"/>
      <c r="GK2" s="598"/>
      <c r="GL2" s="599"/>
      <c r="GM2" s="596"/>
      <c r="GN2" s="596"/>
      <c r="GO2" s="596"/>
      <c r="GP2" s="596"/>
      <c r="GQ2" s="596"/>
      <c r="GR2" s="599"/>
      <c r="GS2" s="596"/>
      <c r="GT2" s="599"/>
      <c r="GU2" s="596"/>
      <c r="GV2" s="596"/>
      <c r="GW2" s="596"/>
      <c r="GX2" s="595"/>
      <c r="GY2" s="595"/>
      <c r="GZ2" s="598"/>
      <c r="HA2" s="599"/>
      <c r="HB2" s="598"/>
      <c r="HC2" s="599"/>
      <c r="HD2" s="598"/>
      <c r="HE2" s="599"/>
      <c r="HF2" s="598"/>
      <c r="HG2" s="599"/>
      <c r="HH2" s="598"/>
      <c r="HI2" s="599"/>
    </row>
    <row r="3" spans="1:217" s="600" customFormat="1" ht="15" customHeight="1" x14ac:dyDescent="0.2">
      <c r="A3" s="595"/>
      <c r="B3" s="596"/>
      <c r="C3" s="596"/>
      <c r="D3" s="596"/>
      <c r="E3" s="596"/>
      <c r="F3" s="596"/>
      <c r="G3" s="597"/>
      <c r="H3" s="596"/>
      <c r="I3" s="598"/>
      <c r="J3" s="598"/>
      <c r="K3" s="598"/>
      <c r="L3" s="598"/>
      <c r="M3" s="598"/>
      <c r="N3" s="598"/>
      <c r="O3" s="598"/>
      <c r="P3" s="598"/>
      <c r="Q3" s="598"/>
      <c r="R3" s="598"/>
      <c r="S3" s="598"/>
      <c r="T3" s="598"/>
      <c r="U3" s="598"/>
      <c r="V3" s="598"/>
      <c r="W3" s="598"/>
      <c r="X3" s="598"/>
      <c r="Y3" s="598"/>
      <c r="Z3" s="598"/>
      <c r="AA3" s="598"/>
      <c r="AB3" s="598"/>
      <c r="AC3" s="598"/>
      <c r="AD3" s="598"/>
      <c r="AE3" s="598"/>
      <c r="AF3" s="598"/>
      <c r="AG3" s="598"/>
      <c r="AH3" s="598"/>
      <c r="AI3" s="598"/>
      <c r="AJ3" s="598"/>
      <c r="AK3" s="598"/>
      <c r="AL3" s="598"/>
      <c r="AM3" s="598"/>
      <c r="AN3" s="598"/>
      <c r="AO3" s="598"/>
      <c r="AP3" s="598"/>
      <c r="AQ3" s="598"/>
      <c r="AR3" s="599"/>
      <c r="AS3" s="598"/>
      <c r="AT3" s="599"/>
      <c r="AU3" s="598"/>
      <c r="AV3" s="599"/>
      <c r="AW3" s="598"/>
      <c r="AX3" s="599"/>
      <c r="AY3" s="598"/>
      <c r="AZ3" s="599"/>
      <c r="BA3" s="598"/>
      <c r="BB3" s="599"/>
      <c r="BC3" s="598"/>
      <c r="BD3" s="599"/>
      <c r="BE3" s="598"/>
      <c r="BF3" s="599"/>
      <c r="BG3" s="598"/>
      <c r="BH3" s="599"/>
      <c r="BI3" s="598"/>
      <c r="BJ3" s="599"/>
      <c r="BK3" s="598"/>
      <c r="BL3" s="599"/>
      <c r="BM3" s="598"/>
      <c r="BN3" s="599"/>
      <c r="BO3" s="598"/>
      <c r="BP3" s="599"/>
      <c r="BQ3" s="598"/>
      <c r="BR3" s="599"/>
      <c r="BS3" s="598"/>
      <c r="BT3" s="599"/>
      <c r="BU3" s="598"/>
      <c r="BV3" s="599"/>
      <c r="BW3" s="598"/>
      <c r="BX3" s="599"/>
      <c r="BY3" s="597"/>
      <c r="BZ3" s="597"/>
      <c r="CA3" s="598"/>
      <c r="CB3" s="599"/>
      <c r="CC3" s="596"/>
      <c r="CD3" s="596"/>
      <c r="CE3" s="596"/>
      <c r="CF3" s="596"/>
      <c r="CG3" s="596"/>
      <c r="CH3" s="599"/>
      <c r="CI3" s="596"/>
      <c r="CJ3" s="599"/>
      <c r="CK3" s="596"/>
      <c r="CL3" s="596"/>
      <c r="CM3" s="596"/>
      <c r="CN3" s="595"/>
      <c r="CO3" s="595"/>
      <c r="CP3" s="598"/>
      <c r="CQ3" s="599"/>
      <c r="CR3" s="598"/>
      <c r="CS3" s="599"/>
      <c r="CT3" s="598"/>
      <c r="CU3" s="599"/>
      <c r="CV3" s="598"/>
      <c r="CW3" s="599"/>
      <c r="CX3" s="598"/>
      <c r="CY3" s="599"/>
      <c r="CZ3" s="598"/>
      <c r="DA3" s="599"/>
      <c r="DB3" s="598"/>
      <c r="DC3" s="599"/>
      <c r="DD3" s="598"/>
      <c r="DE3" s="599"/>
      <c r="DF3" s="598"/>
      <c r="DG3" s="599"/>
      <c r="DH3" s="598"/>
      <c r="DI3" s="599"/>
      <c r="DJ3" s="598"/>
      <c r="DK3" s="599"/>
      <c r="DL3" s="598"/>
      <c r="DM3" s="599"/>
      <c r="DN3" s="598"/>
      <c r="DO3" s="599"/>
      <c r="DP3" s="598"/>
      <c r="DQ3" s="599"/>
      <c r="DR3" s="598"/>
      <c r="DS3" s="599"/>
      <c r="DT3" s="598"/>
      <c r="DU3" s="599"/>
      <c r="DV3" s="598"/>
      <c r="DW3" s="599"/>
      <c r="DX3" s="598"/>
      <c r="DY3" s="599"/>
      <c r="DZ3" s="598"/>
      <c r="EA3" s="599"/>
      <c r="EB3" s="598"/>
      <c r="EC3" s="599"/>
      <c r="ED3" s="597"/>
      <c r="EE3" s="597"/>
      <c r="EF3" s="598"/>
      <c r="EG3" s="599"/>
      <c r="EH3" s="596"/>
      <c r="EI3" s="596"/>
      <c r="EJ3" s="596"/>
      <c r="EK3" s="596"/>
      <c r="EL3" s="596"/>
      <c r="EM3" s="599"/>
      <c r="EN3" s="596"/>
      <c r="EO3" s="599"/>
      <c r="EP3" s="596"/>
      <c r="EQ3" s="596"/>
      <c r="ER3" s="596"/>
      <c r="ES3" s="595"/>
      <c r="ET3" s="595"/>
      <c r="EU3" s="598"/>
      <c r="EV3" s="599"/>
      <c r="EW3" s="598"/>
      <c r="EX3" s="599"/>
      <c r="EY3" s="598"/>
      <c r="EZ3" s="599"/>
      <c r="FA3" s="598"/>
      <c r="FB3" s="599"/>
      <c r="FC3" s="598"/>
      <c r="FD3" s="599"/>
      <c r="FE3" s="598"/>
      <c r="FF3" s="599"/>
      <c r="FG3" s="598"/>
      <c r="FH3" s="599"/>
      <c r="FI3" s="598"/>
      <c r="FJ3" s="599"/>
      <c r="FK3" s="598"/>
      <c r="FL3" s="599"/>
      <c r="FM3" s="598"/>
      <c r="FN3" s="599"/>
      <c r="FO3" s="598"/>
      <c r="FP3" s="599"/>
      <c r="FQ3" s="598"/>
      <c r="FR3" s="599"/>
      <c r="FS3" s="598"/>
      <c r="FT3" s="599"/>
      <c r="FU3" s="598"/>
      <c r="FV3" s="599"/>
      <c r="FW3" s="598"/>
      <c r="FX3" s="599"/>
      <c r="FY3" s="598"/>
      <c r="FZ3" s="599"/>
      <c r="GA3" s="598"/>
      <c r="GB3" s="599"/>
      <c r="GC3" s="598"/>
      <c r="GD3" s="599"/>
      <c r="GE3" s="598"/>
      <c r="GF3" s="599"/>
      <c r="GG3" s="598"/>
      <c r="GH3" s="599"/>
      <c r="GI3" s="597"/>
      <c r="GJ3" s="597"/>
      <c r="GK3" s="598"/>
      <c r="GL3" s="599"/>
      <c r="GM3" s="596"/>
      <c r="GN3" s="596"/>
      <c r="GO3" s="596"/>
      <c r="GP3" s="596"/>
      <c r="GQ3" s="596"/>
      <c r="GR3" s="599"/>
      <c r="GS3" s="596"/>
      <c r="GT3" s="599"/>
      <c r="GU3" s="596"/>
      <c r="GV3" s="596"/>
      <c r="GW3" s="596"/>
      <c r="GX3" s="595"/>
      <c r="GY3" s="595"/>
      <c r="GZ3" s="598"/>
      <c r="HA3" s="599"/>
      <c r="HB3" s="598"/>
      <c r="HC3" s="599"/>
      <c r="HD3" s="598"/>
      <c r="HE3" s="599"/>
      <c r="HF3" s="598"/>
      <c r="HG3" s="599"/>
      <c r="HH3" s="598"/>
      <c r="HI3" s="599"/>
    </row>
    <row r="4" spans="1:217" s="600" customFormat="1" ht="15" customHeight="1" x14ac:dyDescent="0.2">
      <c r="A4" s="601"/>
      <c r="B4" s="602"/>
      <c r="C4" s="602"/>
      <c r="D4" s="602"/>
      <c r="E4" s="602"/>
      <c r="F4" s="602"/>
      <c r="G4" s="603"/>
      <c r="H4" s="602"/>
      <c r="I4" s="604"/>
      <c r="J4" s="604"/>
      <c r="K4" s="604"/>
      <c r="L4" s="604"/>
      <c r="M4" s="604"/>
      <c r="N4" s="604"/>
      <c r="O4" s="604"/>
      <c r="P4" s="604"/>
      <c r="Q4" s="604"/>
      <c r="R4" s="604"/>
      <c r="S4" s="604"/>
      <c r="T4" s="604"/>
      <c r="U4" s="604"/>
      <c r="V4" s="604"/>
      <c r="W4" s="604"/>
      <c r="X4" s="604"/>
      <c r="Y4" s="604"/>
      <c r="Z4" s="604"/>
      <c r="AA4" s="604"/>
      <c r="AB4" s="604"/>
      <c r="AC4" s="604"/>
      <c r="AD4" s="604"/>
      <c r="AE4" s="604"/>
      <c r="AF4" s="604"/>
      <c r="AG4" s="605"/>
      <c r="AH4" s="605"/>
      <c r="AI4" s="605"/>
      <c r="AJ4" s="150"/>
      <c r="AK4" s="150"/>
      <c r="AL4" s="150"/>
      <c r="AM4" s="150"/>
      <c r="AN4" s="150"/>
      <c r="AO4" s="150"/>
      <c r="AP4" s="150"/>
      <c r="AQ4" s="150"/>
    </row>
    <row r="5" spans="1:217" s="641" customFormat="1" ht="19.5" thickBot="1" x14ac:dyDescent="0.35">
      <c r="A5" s="703" t="s">
        <v>531</v>
      </c>
      <c r="B5" s="638"/>
      <c r="C5" s="638"/>
      <c r="D5" s="638"/>
      <c r="E5" s="638"/>
      <c r="F5" s="638"/>
      <c r="G5" s="638"/>
      <c r="H5" s="638"/>
      <c r="I5" s="638"/>
      <c r="J5" s="638"/>
      <c r="K5" s="638"/>
      <c r="L5" s="638"/>
      <c r="M5" s="638"/>
      <c r="N5" s="638"/>
      <c r="O5" s="638"/>
      <c r="P5" s="638"/>
      <c r="Q5" s="638"/>
      <c r="R5" s="638"/>
      <c r="S5" s="638"/>
      <c r="T5" s="638"/>
      <c r="U5" s="638"/>
      <c r="V5" s="638"/>
      <c r="W5" s="638"/>
      <c r="X5" s="638"/>
      <c r="Y5" s="638"/>
      <c r="Z5" s="640"/>
      <c r="AA5" s="640"/>
      <c r="AB5" s="640"/>
      <c r="AC5" s="640"/>
      <c r="AD5" s="640"/>
      <c r="AF5" s="114"/>
      <c r="AJ5" s="114"/>
      <c r="AL5" s="134"/>
      <c r="AO5" s="655"/>
      <c r="AP5" s="643"/>
      <c r="AQ5" s="643"/>
      <c r="AR5" s="643"/>
      <c r="AS5" s="644"/>
      <c r="AT5" s="643"/>
      <c r="AU5" s="643"/>
      <c r="AV5" s="643"/>
      <c r="AW5" s="643"/>
      <c r="AX5" s="656"/>
    </row>
    <row r="6" spans="1:217" s="241" customFormat="1" ht="15" customHeight="1" thickTop="1" x14ac:dyDescent="0.2">
      <c r="A6" s="657"/>
      <c r="B6" s="400"/>
      <c r="G6" s="400" t="s">
        <v>662</v>
      </c>
    </row>
    <row r="7" spans="1:217" s="628" customFormat="1" ht="15" customHeight="1" x14ac:dyDescent="0.2">
      <c r="A7" s="627"/>
      <c r="B7" s="706" t="s">
        <v>448</v>
      </c>
      <c r="C7" s="706" t="s">
        <v>717</v>
      </c>
      <c r="D7" s="706" t="s">
        <v>718</v>
      </c>
      <c r="E7" s="706" t="s">
        <v>719</v>
      </c>
      <c r="F7" s="706" t="s">
        <v>720</v>
      </c>
      <c r="G7" s="706" t="s">
        <v>449</v>
      </c>
      <c r="AL7" s="658"/>
    </row>
    <row r="8" spans="1:217" s="624" customFormat="1" ht="9.9499999999999993" customHeight="1" x14ac:dyDescent="0.2">
      <c r="A8" s="659"/>
      <c r="B8" s="233"/>
      <c r="C8" s="233"/>
      <c r="D8" s="233"/>
      <c r="E8" s="233"/>
      <c r="F8" s="233"/>
      <c r="G8" s="233"/>
      <c r="H8" s="647"/>
      <c r="I8" s="647"/>
      <c r="J8" s="647"/>
      <c r="K8" s="647"/>
      <c r="L8" s="647"/>
      <c r="M8" s="647"/>
      <c r="N8" s="647"/>
      <c r="O8" s="647"/>
      <c r="P8" s="647"/>
      <c r="Q8" s="647"/>
      <c r="R8" s="647"/>
      <c r="S8" s="647"/>
      <c r="T8" s="647"/>
      <c r="U8" s="647"/>
      <c r="V8" s="647"/>
      <c r="W8" s="647"/>
      <c r="X8" s="647"/>
      <c r="Y8" s="647"/>
      <c r="Z8" s="647"/>
      <c r="AA8" s="647"/>
      <c r="AB8" s="647"/>
      <c r="AC8" s="647"/>
      <c r="AD8" s="647"/>
      <c r="AE8" s="647"/>
      <c r="AF8" s="647"/>
      <c r="AG8" s="647"/>
      <c r="AH8" s="647"/>
      <c r="AI8" s="647"/>
      <c r="AJ8" s="647"/>
      <c r="AK8" s="647"/>
      <c r="AL8" s="647"/>
      <c r="AM8" s="647"/>
    </row>
    <row r="9" spans="1:217" s="624" customFormat="1" ht="5.0999999999999996" customHeight="1" x14ac:dyDescent="0.2">
      <c r="A9" s="660"/>
      <c r="B9" s="666"/>
      <c r="C9" s="666"/>
      <c r="D9" s="666"/>
      <c r="E9" s="666"/>
      <c r="F9" s="666"/>
      <c r="G9" s="666"/>
      <c r="H9" s="647"/>
      <c r="I9" s="647"/>
      <c r="J9" s="647"/>
      <c r="K9" s="647"/>
      <c r="L9" s="647"/>
      <c r="M9" s="647"/>
      <c r="N9" s="647"/>
      <c r="O9" s="647"/>
      <c r="P9" s="647"/>
      <c r="Q9" s="647"/>
      <c r="R9" s="647"/>
      <c r="S9" s="647"/>
      <c r="T9" s="647"/>
      <c r="U9" s="647"/>
      <c r="V9" s="647"/>
      <c r="W9" s="647"/>
      <c r="X9" s="647"/>
      <c r="Y9" s="647"/>
      <c r="Z9" s="647"/>
      <c r="AA9" s="647"/>
      <c r="AB9" s="647"/>
      <c r="AC9" s="647"/>
      <c r="AD9" s="647"/>
      <c r="AE9" s="647"/>
      <c r="AF9" s="647"/>
      <c r="AG9" s="647"/>
      <c r="AH9" s="647"/>
      <c r="AI9" s="647"/>
      <c r="AJ9" s="647"/>
      <c r="AK9" s="647"/>
      <c r="AL9" s="647"/>
      <c r="AM9" s="647"/>
    </row>
    <row r="10" spans="1:217" s="232" customFormat="1" ht="15" customHeight="1" x14ac:dyDescent="0.2">
      <c r="A10" s="226" t="s">
        <v>721</v>
      </c>
      <c r="B10" s="713">
        <v>71419</v>
      </c>
      <c r="C10" s="547">
        <v>17948</v>
      </c>
      <c r="D10" s="547">
        <v>18512</v>
      </c>
      <c r="E10" s="547">
        <v>18637</v>
      </c>
      <c r="F10" s="464">
        <v>21192</v>
      </c>
      <c r="G10" s="464">
        <v>76289</v>
      </c>
    </row>
    <row r="11" spans="1:217" s="228" customFormat="1" ht="15" customHeight="1" x14ac:dyDescent="0.2">
      <c r="A11" s="226" t="s">
        <v>722</v>
      </c>
      <c r="B11" s="713">
        <v>39025</v>
      </c>
      <c r="C11" s="547">
        <v>10147</v>
      </c>
      <c r="D11" s="547">
        <v>10575</v>
      </c>
      <c r="E11" s="547">
        <v>10366</v>
      </c>
      <c r="F11" s="464">
        <v>10178</v>
      </c>
      <c r="G11" s="464">
        <v>41266</v>
      </c>
    </row>
    <row r="12" spans="1:217" s="228" customFormat="1" ht="15" customHeight="1" x14ac:dyDescent="0.2">
      <c r="A12" s="226" t="s">
        <v>530</v>
      </c>
      <c r="B12" s="713">
        <v>-24379</v>
      </c>
      <c r="C12" s="547">
        <v>-6306</v>
      </c>
      <c r="D12" s="547">
        <v>-6536</v>
      </c>
      <c r="E12" s="547">
        <v>-6553</v>
      </c>
      <c r="F12" s="464">
        <v>-6196</v>
      </c>
      <c r="G12" s="464">
        <v>-25591</v>
      </c>
    </row>
    <row r="13" spans="1:217" s="178" customFormat="1" ht="15" customHeight="1" x14ac:dyDescent="0.2">
      <c r="A13" s="226" t="s">
        <v>723</v>
      </c>
      <c r="B13" s="713">
        <v>-5372</v>
      </c>
      <c r="C13" s="547">
        <v>-1300</v>
      </c>
      <c r="D13" s="547">
        <v>-1409</v>
      </c>
      <c r="E13" s="547">
        <v>-1429</v>
      </c>
      <c r="F13" s="464">
        <v>-1321</v>
      </c>
      <c r="G13" s="464">
        <v>-5459</v>
      </c>
      <c r="H13" s="191"/>
      <c r="I13" s="191"/>
      <c r="J13" s="191"/>
      <c r="K13" s="191"/>
      <c r="L13" s="191"/>
      <c r="M13" s="191"/>
      <c r="N13" s="191"/>
      <c r="O13" s="191"/>
      <c r="P13" s="191"/>
      <c r="Q13" s="191"/>
      <c r="R13" s="191"/>
      <c r="S13" s="191"/>
      <c r="T13" s="191"/>
      <c r="U13" s="191"/>
      <c r="V13" s="191"/>
      <c r="W13" s="191"/>
      <c r="X13" s="191"/>
      <c r="Y13" s="191"/>
      <c r="Z13" s="191"/>
      <c r="AA13" s="191"/>
      <c r="AB13" s="191"/>
      <c r="AC13" s="191"/>
      <c r="AD13" s="191"/>
      <c r="AE13" s="191"/>
      <c r="AF13" s="191"/>
      <c r="AG13" s="191"/>
      <c r="AH13" s="191"/>
      <c r="AI13" s="191"/>
      <c r="AJ13" s="191"/>
      <c r="AK13" s="191"/>
      <c r="AL13" s="191"/>
      <c r="AM13" s="191"/>
      <c r="AN13" s="191"/>
      <c r="AO13" s="191"/>
      <c r="AP13" s="191"/>
      <c r="AQ13" s="191"/>
    </row>
    <row r="14" spans="1:217" s="232" customFormat="1" ht="15" customHeight="1" x14ac:dyDescent="0.2">
      <c r="A14" s="226" t="s">
        <v>724</v>
      </c>
      <c r="B14" s="713">
        <v>-3630</v>
      </c>
      <c r="C14" s="547">
        <v>-916</v>
      </c>
      <c r="D14" s="547">
        <v>-850</v>
      </c>
      <c r="E14" s="547">
        <v>-871</v>
      </c>
      <c r="F14" s="464">
        <v>-805</v>
      </c>
      <c r="G14" s="464">
        <v>-3442</v>
      </c>
    </row>
    <row r="15" spans="1:217" s="90" customFormat="1" ht="15" customHeight="1" x14ac:dyDescent="0.2">
      <c r="A15" s="226" t="s">
        <v>725</v>
      </c>
      <c r="B15" s="713">
        <v>-2973</v>
      </c>
      <c r="C15" s="547">
        <v>-702</v>
      </c>
      <c r="D15" s="547">
        <v>-724</v>
      </c>
      <c r="E15" s="547">
        <v>-811</v>
      </c>
      <c r="F15" s="464">
        <v>-824</v>
      </c>
      <c r="G15" s="464">
        <v>-3061</v>
      </c>
    </row>
    <row r="16" spans="1:217" s="90" customFormat="1" ht="15" customHeight="1" x14ac:dyDescent="0.2">
      <c r="A16" s="226" t="s">
        <v>532</v>
      </c>
      <c r="B16" s="713">
        <v>-780</v>
      </c>
      <c r="C16" s="547">
        <v>-247</v>
      </c>
      <c r="D16" s="547">
        <v>-215</v>
      </c>
      <c r="E16" s="547">
        <v>-198</v>
      </c>
      <c r="F16" s="464">
        <v>-222</v>
      </c>
      <c r="G16" s="464">
        <v>-882</v>
      </c>
    </row>
    <row r="17" spans="1:7" s="90" customFormat="1" ht="15" customHeight="1" x14ac:dyDescent="0.2">
      <c r="A17" s="226" t="s">
        <v>726</v>
      </c>
      <c r="B17" s="713">
        <v>728</v>
      </c>
      <c r="C17" s="547">
        <v>71</v>
      </c>
      <c r="D17" s="547">
        <v>97</v>
      </c>
      <c r="E17" s="547">
        <v>373</v>
      </c>
      <c r="F17" s="464">
        <v>311</v>
      </c>
      <c r="G17" s="464">
        <v>852</v>
      </c>
    </row>
    <row r="18" spans="1:7" s="90" customFormat="1" ht="15" customHeight="1" x14ac:dyDescent="0.2">
      <c r="A18" s="229" t="s">
        <v>727</v>
      </c>
      <c r="B18" s="714">
        <v>2619</v>
      </c>
      <c r="C18" s="376">
        <f>SUM(C11:C17)</f>
        <v>747</v>
      </c>
      <c r="D18" s="376">
        <f>SUM(D11:D17)</f>
        <v>938</v>
      </c>
      <c r="E18" s="376">
        <f>SUM(E11:E17)</f>
        <v>877</v>
      </c>
      <c r="F18" s="377">
        <f>SUM(F11:F17)</f>
        <v>1121</v>
      </c>
      <c r="G18" s="377">
        <f>SUM(G11:G17)</f>
        <v>3683</v>
      </c>
    </row>
    <row r="19" spans="1:7" s="90" customFormat="1" ht="3.75" customHeight="1" x14ac:dyDescent="0.2">
      <c r="A19" s="229"/>
      <c r="B19" s="713"/>
      <c r="C19" s="376"/>
      <c r="D19" s="715"/>
      <c r="E19" s="547"/>
      <c r="F19" s="464"/>
      <c r="G19" s="464">
        <v>0</v>
      </c>
    </row>
    <row r="20" spans="1:7" s="90" customFormat="1" ht="15" customHeight="1" x14ac:dyDescent="0.2">
      <c r="A20" s="226" t="s">
        <v>729</v>
      </c>
      <c r="B20" s="713">
        <v>6085</v>
      </c>
      <c r="C20" s="547">
        <v>1499</v>
      </c>
      <c r="D20" s="547">
        <v>1011</v>
      </c>
      <c r="E20" s="547">
        <v>1501</v>
      </c>
      <c r="F20" s="464">
        <v>1474</v>
      </c>
      <c r="G20" s="464">
        <v>5485</v>
      </c>
    </row>
    <row r="21" spans="1:7" s="90" customFormat="1" ht="15" customHeight="1" x14ac:dyDescent="0.2">
      <c r="A21" s="226" t="s">
        <v>728</v>
      </c>
      <c r="B21" s="713">
        <v>906</v>
      </c>
      <c r="C21" s="547">
        <v>194</v>
      </c>
      <c r="D21" s="547">
        <v>211</v>
      </c>
      <c r="E21" s="547">
        <v>168</v>
      </c>
      <c r="F21" s="464">
        <v>155</v>
      </c>
      <c r="G21" s="464">
        <v>728</v>
      </c>
    </row>
    <row r="22" spans="1:7" s="90" customFormat="1" ht="3.75" customHeight="1" x14ac:dyDescent="0.2">
      <c r="A22" s="229"/>
      <c r="B22" s="713"/>
      <c r="C22" s="376"/>
      <c r="D22" s="715"/>
      <c r="E22" s="547"/>
      <c r="F22" s="464"/>
      <c r="G22" s="464"/>
    </row>
    <row r="23" spans="1:7" s="90" customFormat="1" ht="15" customHeight="1" x14ac:dyDescent="0.2">
      <c r="A23" s="229" t="s">
        <v>730</v>
      </c>
      <c r="B23" s="714">
        <v>9610</v>
      </c>
      <c r="C23" s="376">
        <f>SUM(C18:C21)</f>
        <v>2440</v>
      </c>
      <c r="D23" s="376">
        <f>SUM(D18:D21)</f>
        <v>2160</v>
      </c>
      <c r="E23" s="376">
        <f>SUM(E18:E21)</f>
        <v>2546</v>
      </c>
      <c r="F23" s="377">
        <f>SUM(F18:F21)</f>
        <v>2750</v>
      </c>
      <c r="G23" s="377">
        <f>SUM(G18:G21)</f>
        <v>9896</v>
      </c>
    </row>
    <row r="24" spans="1:7" s="90" customFormat="1" ht="15" customHeight="1" x14ac:dyDescent="0.2">
      <c r="A24" s="226" t="s">
        <v>731</v>
      </c>
      <c r="B24" s="713">
        <v>-3851</v>
      </c>
      <c r="C24" s="547">
        <v>-1006</v>
      </c>
      <c r="D24" s="547">
        <v>-835</v>
      </c>
      <c r="E24" s="547">
        <v>-979</v>
      </c>
      <c r="F24" s="464">
        <v>-1312</v>
      </c>
      <c r="G24" s="464">
        <v>-4132</v>
      </c>
    </row>
    <row r="25" spans="1:7" s="90" customFormat="1" ht="15" customHeight="1" x14ac:dyDescent="0.2">
      <c r="A25" s="226" t="s">
        <v>732</v>
      </c>
      <c r="B25" s="713">
        <v>-96</v>
      </c>
      <c r="C25" s="547">
        <v>-23</v>
      </c>
      <c r="D25" s="547">
        <v>-27</v>
      </c>
      <c r="E25" s="547">
        <v>-27</v>
      </c>
      <c r="F25" s="464">
        <v>-24</v>
      </c>
      <c r="G25" s="464">
        <v>-101</v>
      </c>
    </row>
    <row r="26" spans="1:7" s="90" customFormat="1" ht="15" customHeight="1" x14ac:dyDescent="0.2">
      <c r="A26" s="226" t="s">
        <v>535</v>
      </c>
      <c r="B26" s="713">
        <v>-112</v>
      </c>
      <c r="C26" s="547">
        <v>-37</v>
      </c>
      <c r="D26" s="547">
        <v>-28</v>
      </c>
      <c r="E26" s="547">
        <v>-57</v>
      </c>
      <c r="F26" s="464">
        <v>-7</v>
      </c>
      <c r="G26" s="464">
        <v>-129</v>
      </c>
    </row>
    <row r="27" spans="1:7" s="89" customFormat="1" ht="3.75" customHeight="1" x14ac:dyDescent="0.2">
      <c r="A27" s="229"/>
      <c r="B27" s="547"/>
      <c r="C27" s="376"/>
      <c r="D27" s="715"/>
      <c r="E27" s="547"/>
      <c r="F27" s="547"/>
      <c r="G27" s="547"/>
    </row>
    <row r="28" spans="1:7" s="232" customFormat="1" ht="15" customHeight="1" thickBot="1" x14ac:dyDescent="0.25">
      <c r="A28" s="621" t="s">
        <v>639</v>
      </c>
      <c r="B28" s="375">
        <f t="shared" ref="B28:G28" si="0">SUM(B22:B26)</f>
        <v>5551</v>
      </c>
      <c r="C28" s="375">
        <f t="shared" si="0"/>
        <v>1374</v>
      </c>
      <c r="D28" s="375">
        <f t="shared" si="0"/>
        <v>1270</v>
      </c>
      <c r="E28" s="375">
        <f t="shared" si="0"/>
        <v>1483</v>
      </c>
      <c r="F28" s="375">
        <f t="shared" si="0"/>
        <v>1407</v>
      </c>
      <c r="G28" s="375">
        <f t="shared" si="0"/>
        <v>5534</v>
      </c>
    </row>
    <row r="29" spans="1:7" s="661" customFormat="1" ht="15" customHeight="1" thickTop="1" x14ac:dyDescent="0.2"/>
    <row r="30" spans="1:7" s="661" customFormat="1" ht="15" customHeight="1" x14ac:dyDescent="0.2"/>
    <row r="31" spans="1:7" s="661" customFormat="1" ht="15" customHeight="1" x14ac:dyDescent="0.2"/>
    <row r="32" spans="1:7" s="661" customFormat="1" ht="15" customHeight="1" x14ac:dyDescent="0.2"/>
    <row r="33" s="661" customFormat="1" ht="15" customHeight="1" x14ac:dyDescent="0.2"/>
    <row r="34" s="661" customFormat="1" ht="15" customHeight="1" x14ac:dyDescent="0.2"/>
    <row r="35" s="661" customFormat="1" ht="15" customHeight="1" x14ac:dyDescent="0.2"/>
    <row r="36" s="661" customFormat="1" ht="15" customHeight="1" x14ac:dyDescent="0.2"/>
    <row r="37" s="661" customFormat="1" ht="15" customHeight="1" x14ac:dyDescent="0.2"/>
    <row r="38" s="661" customFormat="1" ht="15" customHeight="1" x14ac:dyDescent="0.2"/>
    <row r="39" s="661" customFormat="1" ht="15" customHeight="1" x14ac:dyDescent="0.2"/>
    <row r="40" s="661" customFormat="1" ht="15" customHeight="1" x14ac:dyDescent="0.2"/>
    <row r="41" s="661" customFormat="1" ht="15" customHeight="1" x14ac:dyDescent="0.2"/>
    <row r="42" s="661" customFormat="1" ht="15" customHeight="1" x14ac:dyDescent="0.2"/>
    <row r="43" s="661" customFormat="1" ht="15" customHeight="1" x14ac:dyDescent="0.2"/>
    <row r="44" s="661" customFormat="1" ht="15" customHeight="1" x14ac:dyDescent="0.2"/>
    <row r="45" s="661" customFormat="1" ht="15" customHeight="1" x14ac:dyDescent="0.2"/>
    <row r="46" s="661" customFormat="1" ht="15" customHeight="1" x14ac:dyDescent="0.2"/>
    <row r="47" s="661" customFormat="1" ht="15" customHeight="1" x14ac:dyDescent="0.2"/>
    <row r="48" s="661" customFormat="1" ht="15" customHeight="1" x14ac:dyDescent="0.2"/>
    <row r="49" s="661" customFormat="1" ht="15" customHeight="1" x14ac:dyDescent="0.2"/>
    <row r="50" s="661" customFormat="1" ht="15" customHeight="1" x14ac:dyDescent="0.2"/>
    <row r="51" s="661" customFormat="1" ht="15" customHeight="1" x14ac:dyDescent="0.2"/>
    <row r="52" s="661" customFormat="1" ht="15" customHeight="1" x14ac:dyDescent="0.2"/>
    <row r="53" s="661" customFormat="1" ht="15" customHeight="1" x14ac:dyDescent="0.2"/>
    <row r="54" s="661" customFormat="1" ht="15" customHeight="1" x14ac:dyDescent="0.2"/>
    <row r="55" s="661" customFormat="1" ht="15" customHeight="1" x14ac:dyDescent="0.2"/>
    <row r="56" s="661" customFormat="1" ht="15" customHeight="1" x14ac:dyDescent="0.2"/>
    <row r="57" s="661" customFormat="1" ht="15" customHeight="1" x14ac:dyDescent="0.2"/>
    <row r="58" s="661" customFormat="1" ht="15" customHeight="1" x14ac:dyDescent="0.2"/>
    <row r="59" s="661" customFormat="1" ht="15" customHeight="1" x14ac:dyDescent="0.2"/>
    <row r="60" s="661" customFormat="1" ht="15" customHeight="1" x14ac:dyDescent="0.2"/>
    <row r="61" s="661" customFormat="1" ht="15" customHeight="1" x14ac:dyDescent="0.2"/>
    <row r="62" s="661" customFormat="1" ht="15" customHeight="1" x14ac:dyDescent="0.2"/>
    <row r="63" s="661" customFormat="1" ht="15" customHeight="1" x14ac:dyDescent="0.2"/>
    <row r="64" s="661" customFormat="1" ht="15" customHeight="1" x14ac:dyDescent="0.2"/>
    <row r="65" s="661" customFormat="1" ht="15" customHeight="1" x14ac:dyDescent="0.2"/>
    <row r="66" s="661" customFormat="1" ht="15" customHeight="1" x14ac:dyDescent="0.2"/>
    <row r="67" s="661" customFormat="1" ht="15" customHeight="1" x14ac:dyDescent="0.2"/>
    <row r="68" s="661" customFormat="1" ht="15" customHeight="1" x14ac:dyDescent="0.2"/>
    <row r="69" s="661" customFormat="1" ht="15" customHeight="1" x14ac:dyDescent="0.2"/>
    <row r="70" s="661" customFormat="1" ht="15" customHeight="1" x14ac:dyDescent="0.2"/>
    <row r="71" s="661" customFormat="1" ht="15" customHeight="1" x14ac:dyDescent="0.2"/>
    <row r="72" s="661" customFormat="1" ht="15" customHeight="1" x14ac:dyDescent="0.2"/>
    <row r="73" s="661" customFormat="1" ht="15" customHeight="1" x14ac:dyDescent="0.2"/>
    <row r="74" s="661" customFormat="1" ht="15" customHeight="1" x14ac:dyDescent="0.2"/>
    <row r="75" s="661" customFormat="1" ht="15" customHeight="1" x14ac:dyDescent="0.2"/>
    <row r="76" s="661" customFormat="1" ht="15" customHeight="1" x14ac:dyDescent="0.2"/>
    <row r="77" s="661" customFormat="1" ht="15" customHeight="1" x14ac:dyDescent="0.2"/>
    <row r="78" s="661" customFormat="1" ht="15" customHeight="1" x14ac:dyDescent="0.2"/>
    <row r="79" s="661" customFormat="1" ht="15" customHeight="1" x14ac:dyDescent="0.2"/>
    <row r="80" s="661" customFormat="1" ht="15" customHeight="1" x14ac:dyDescent="0.2"/>
    <row r="81" s="661" customFormat="1" ht="15" customHeight="1" x14ac:dyDescent="0.2"/>
    <row r="82" s="661" customFormat="1" ht="15" customHeight="1" x14ac:dyDescent="0.2"/>
    <row r="83" s="661" customFormat="1" ht="15" customHeight="1" x14ac:dyDescent="0.2"/>
    <row r="84" s="661" customFormat="1" ht="15" customHeight="1" x14ac:dyDescent="0.2"/>
    <row r="85" s="661" customFormat="1" ht="15" customHeight="1" x14ac:dyDescent="0.2"/>
    <row r="86" s="661" customFormat="1" ht="15" customHeight="1" x14ac:dyDescent="0.2"/>
    <row r="87" s="661" customFormat="1" ht="15" customHeight="1" x14ac:dyDescent="0.2"/>
    <row r="88" s="661" customFormat="1" ht="15" customHeight="1" x14ac:dyDescent="0.2"/>
    <row r="89" s="661" customFormat="1" ht="15" customHeight="1" x14ac:dyDescent="0.2"/>
    <row r="90" s="661" customFormat="1" ht="15" customHeight="1" x14ac:dyDescent="0.2"/>
    <row r="91" s="661" customFormat="1" ht="15" customHeight="1" x14ac:dyDescent="0.2"/>
    <row r="92" s="661" customFormat="1" ht="15" customHeight="1" x14ac:dyDescent="0.2"/>
    <row r="93" s="661" customFormat="1" ht="15" customHeight="1" x14ac:dyDescent="0.2"/>
    <row r="94" s="661" customFormat="1" ht="15" customHeight="1" x14ac:dyDescent="0.2"/>
    <row r="95" s="661" customFormat="1" ht="15" customHeight="1" x14ac:dyDescent="0.2"/>
    <row r="96" s="661" customFormat="1" ht="15" customHeight="1" x14ac:dyDescent="0.2"/>
    <row r="97" s="661" customFormat="1" ht="15" customHeight="1" x14ac:dyDescent="0.2"/>
    <row r="98" s="661" customFormat="1" ht="15" customHeight="1" x14ac:dyDescent="0.2"/>
    <row r="99" s="661" customFormat="1" ht="15" customHeight="1" x14ac:dyDescent="0.2"/>
    <row r="100" s="661" customFormat="1" ht="15" customHeight="1" x14ac:dyDescent="0.2"/>
    <row r="101" s="661" customFormat="1" ht="15" customHeight="1" x14ac:dyDescent="0.2"/>
    <row r="102" s="661" customFormat="1" ht="15" customHeight="1" x14ac:dyDescent="0.2"/>
    <row r="103" s="661" customFormat="1" ht="15" customHeight="1" x14ac:dyDescent="0.2"/>
    <row r="104" s="661" customFormat="1" ht="15" customHeight="1" x14ac:dyDescent="0.2"/>
    <row r="105" s="661" customFormat="1" ht="15" customHeight="1" x14ac:dyDescent="0.2"/>
    <row r="106" s="661" customFormat="1" ht="15" customHeight="1" x14ac:dyDescent="0.2"/>
    <row r="107" s="661" customFormat="1" ht="15" customHeight="1" x14ac:dyDescent="0.2"/>
    <row r="108" s="661" customFormat="1" ht="15" customHeight="1" x14ac:dyDescent="0.2"/>
  </sheetData>
  <hyperlinks>
    <hyperlink ref="G6" location="Índex!E9" display="Índex"/>
  </hyperlinks>
  <printOptions horizontalCentered="1"/>
  <pageMargins left="0" right="0" top="0.39370078740157483" bottom="0.39370078740157483" header="0" footer="0"/>
  <pageSetup paperSize="9" scale="73" orientation="landscape" horizontalDpi="1200" verticalDpi="1200" r:id="rId1"/>
  <headerFooter alignWithMargins="0">
    <oddHeader>&amp;R&amp;P/&amp;N</oddHead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4"/>
  <dimension ref="A1:DQ70"/>
  <sheetViews>
    <sheetView showGridLines="0" zoomScaleNormal="100" workbookViewId="0">
      <pane xSplit="1" ySplit="8" topLeftCell="AG9" activePane="bottomRight" state="frozen"/>
      <selection activeCell="E9" sqref="E9"/>
      <selection pane="topRight" activeCell="E9" sqref="E9"/>
      <selection pane="bottomLeft" activeCell="E9" sqref="E9"/>
      <selection pane="bottomRight" activeCell="E9" sqref="E9"/>
    </sheetView>
  </sheetViews>
  <sheetFormatPr defaultColWidth="8.7109375" defaultRowHeight="12.75" x14ac:dyDescent="0.2"/>
  <cols>
    <col min="1" max="1" width="46.85546875" style="70" bestFit="1" customWidth="1"/>
    <col min="2" max="25" width="8.7109375" style="70" customWidth="1"/>
    <col min="26" max="29" width="8.7109375" style="78" customWidth="1"/>
    <col min="30" max="37" width="8.7109375" style="70" customWidth="1"/>
    <col min="38" max="16384" width="8.7109375" style="67"/>
  </cols>
  <sheetData>
    <row r="1" spans="1:121" s="25" customFormat="1" ht="15" customHeight="1" x14ac:dyDescent="0.2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2"/>
      <c r="AW1" s="62"/>
      <c r="AX1" s="62"/>
      <c r="AY1" s="62"/>
      <c r="AZ1" s="62"/>
      <c r="BA1" s="62"/>
      <c r="BB1" s="62"/>
      <c r="BC1" s="62"/>
      <c r="BD1" s="62"/>
      <c r="BE1" s="62"/>
      <c r="BF1" s="62"/>
      <c r="BG1" s="62"/>
      <c r="BH1" s="62"/>
      <c r="BI1" s="62"/>
      <c r="BJ1" s="56"/>
      <c r="BK1" s="56"/>
      <c r="BL1" s="56"/>
      <c r="BM1" s="56"/>
      <c r="BN1" s="56"/>
      <c r="BO1" s="56"/>
      <c r="BP1" s="56"/>
      <c r="BQ1" s="56"/>
      <c r="BR1" s="56"/>
      <c r="BS1" s="56"/>
      <c r="BT1" s="56"/>
      <c r="BU1" s="56"/>
    </row>
    <row r="2" spans="1:121" s="25" customFormat="1" ht="15" customHeight="1" x14ac:dyDescent="0.25">
      <c r="A2" s="56"/>
      <c r="B2" s="199"/>
      <c r="C2" s="56"/>
      <c r="D2" s="56"/>
      <c r="E2" s="216"/>
      <c r="F2" s="216"/>
      <c r="G2" s="216"/>
      <c r="H2" s="56"/>
      <c r="I2" s="56"/>
      <c r="J2" s="56"/>
      <c r="K2" s="21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  <c r="BM2" s="56"/>
      <c r="BN2" s="56"/>
      <c r="BO2" s="56"/>
      <c r="BP2" s="56"/>
      <c r="BQ2" s="56"/>
      <c r="BR2" s="56"/>
      <c r="BS2" s="56"/>
      <c r="BT2" s="56"/>
      <c r="BU2" s="56"/>
    </row>
    <row r="3" spans="1:121" s="25" customFormat="1" ht="15" customHeight="1" x14ac:dyDescent="0.25">
      <c r="A3" s="57"/>
      <c r="B3" s="57"/>
      <c r="C3" s="61"/>
      <c r="D3" s="57"/>
      <c r="E3" s="217"/>
      <c r="F3" s="217"/>
      <c r="G3" s="217"/>
      <c r="H3" s="57"/>
      <c r="I3" s="57"/>
      <c r="J3" s="57"/>
      <c r="K3" s="21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7"/>
      <c r="BT3" s="57"/>
      <c r="BU3" s="57"/>
    </row>
    <row r="4" spans="1:121" s="25" customFormat="1" ht="15" customHeight="1" x14ac:dyDescent="0.2">
      <c r="A4" s="58" t="s">
        <v>1</v>
      </c>
      <c r="B4" s="58"/>
      <c r="C4" s="58"/>
      <c r="D4" s="58"/>
      <c r="E4" s="218"/>
      <c r="F4" s="218"/>
      <c r="G4" s="218"/>
      <c r="H4" s="58"/>
      <c r="I4" s="58"/>
      <c r="J4" s="58"/>
      <c r="K4" s="21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  <c r="CG4" s="198"/>
      <c r="CH4" s="198"/>
      <c r="CI4" s="198"/>
      <c r="CJ4" s="198"/>
      <c r="CK4" s="198"/>
      <c r="CL4" s="198"/>
      <c r="CM4" s="198"/>
      <c r="CN4" s="198"/>
      <c r="CO4" s="198"/>
    </row>
    <row r="5" spans="1:121" s="25" customFormat="1" ht="19.5" thickBot="1" x14ac:dyDescent="0.35">
      <c r="A5" s="190" t="s">
        <v>536</v>
      </c>
      <c r="B5" s="61"/>
      <c r="C5" s="59"/>
      <c r="D5" s="61"/>
      <c r="E5" s="59"/>
      <c r="F5" s="114"/>
      <c r="G5" s="59"/>
      <c r="H5" s="112"/>
      <c r="I5" s="59"/>
      <c r="J5" s="59"/>
      <c r="K5" s="59"/>
      <c r="L5" s="59"/>
      <c r="M5" s="59"/>
      <c r="N5" s="59"/>
      <c r="O5" s="59"/>
      <c r="P5" s="59"/>
      <c r="Q5" s="59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59"/>
      <c r="BR5" s="59"/>
      <c r="BS5" s="59"/>
      <c r="BT5" s="59"/>
      <c r="BU5" s="59"/>
      <c r="BW5" s="114"/>
      <c r="CA5" s="114"/>
      <c r="CC5" s="134"/>
      <c r="CF5" s="65"/>
      <c r="CG5" s="194"/>
      <c r="CH5" s="194"/>
      <c r="CI5" s="194"/>
      <c r="CJ5" s="225"/>
      <c r="CK5" s="194"/>
      <c r="CL5" s="194"/>
      <c r="CM5" s="194"/>
      <c r="CN5" s="194"/>
      <c r="CO5" s="198"/>
    </row>
    <row r="6" spans="1:121" s="236" customFormat="1" ht="15" customHeight="1" thickTop="1" x14ac:dyDescent="0.2">
      <c r="A6" s="234"/>
      <c r="B6" s="234"/>
      <c r="C6" s="235"/>
      <c r="D6" s="235"/>
      <c r="E6" s="235"/>
      <c r="AL6" s="133"/>
      <c r="AN6" s="133"/>
      <c r="AP6" s="400"/>
      <c r="AQ6" s="400"/>
      <c r="AR6" s="400"/>
      <c r="AS6" s="400" t="s">
        <v>662</v>
      </c>
    </row>
    <row r="7" spans="1:121" s="183" customFormat="1" ht="15" customHeight="1" x14ac:dyDescent="0.2">
      <c r="A7" s="182"/>
      <c r="B7" s="706" t="s">
        <v>678</v>
      </c>
      <c r="C7" s="706" t="s">
        <v>679</v>
      </c>
      <c r="D7" s="706" t="s">
        <v>680</v>
      </c>
      <c r="E7" s="706" t="s">
        <v>681</v>
      </c>
      <c r="F7" s="706" t="s">
        <v>682</v>
      </c>
      <c r="G7" s="706" t="s">
        <v>683</v>
      </c>
      <c r="H7" s="706" t="s">
        <v>684</v>
      </c>
      <c r="I7" s="706" t="s">
        <v>685</v>
      </c>
      <c r="J7" s="706" t="s">
        <v>686</v>
      </c>
      <c r="K7" s="706" t="s">
        <v>687</v>
      </c>
      <c r="L7" s="706" t="s">
        <v>688</v>
      </c>
      <c r="M7" s="706" t="s">
        <v>689</v>
      </c>
      <c r="N7" s="706" t="s">
        <v>690</v>
      </c>
      <c r="O7" s="706" t="s">
        <v>691</v>
      </c>
      <c r="P7" s="706" t="s">
        <v>692</v>
      </c>
      <c r="Q7" s="706" t="s">
        <v>693</v>
      </c>
      <c r="R7" s="706" t="s">
        <v>694</v>
      </c>
      <c r="S7" s="706" t="s">
        <v>695</v>
      </c>
      <c r="T7" s="706" t="s">
        <v>696</v>
      </c>
      <c r="U7" s="706" t="s">
        <v>697</v>
      </c>
      <c r="V7" s="706" t="s">
        <v>698</v>
      </c>
      <c r="W7" s="706" t="s">
        <v>699</v>
      </c>
      <c r="X7" s="706" t="s">
        <v>700</v>
      </c>
      <c r="Y7" s="706" t="s">
        <v>701</v>
      </c>
      <c r="Z7" s="706" t="s">
        <v>702</v>
      </c>
      <c r="AA7" s="706" t="s">
        <v>703</v>
      </c>
      <c r="AB7" s="706" t="s">
        <v>704</v>
      </c>
      <c r="AC7" s="706" t="s">
        <v>705</v>
      </c>
      <c r="AD7" s="706" t="s">
        <v>706</v>
      </c>
      <c r="AE7" s="706" t="s">
        <v>707</v>
      </c>
      <c r="AF7" s="706" t="s">
        <v>708</v>
      </c>
      <c r="AG7" s="706" t="s">
        <v>709</v>
      </c>
      <c r="AH7" s="706" t="s">
        <v>710</v>
      </c>
      <c r="AI7" s="706" t="s">
        <v>711</v>
      </c>
      <c r="AJ7" s="706" t="s">
        <v>400</v>
      </c>
      <c r="AK7" s="706" t="s">
        <v>712</v>
      </c>
      <c r="AL7" s="706" t="s">
        <v>713</v>
      </c>
      <c r="AM7" s="706" t="s">
        <v>714</v>
      </c>
      <c r="AN7" s="706" t="s">
        <v>715</v>
      </c>
      <c r="AO7" s="706" t="s">
        <v>716</v>
      </c>
      <c r="AP7" s="706" t="s">
        <v>717</v>
      </c>
      <c r="AQ7" s="706" t="s">
        <v>718</v>
      </c>
      <c r="AR7" s="706" t="s">
        <v>719</v>
      </c>
      <c r="AS7" s="706" t="s">
        <v>720</v>
      </c>
      <c r="CC7" s="243"/>
    </row>
    <row r="8" spans="1:121" s="178" customFormat="1" ht="9.9499999999999993" customHeight="1" x14ac:dyDescent="0.2">
      <c r="A8" s="233"/>
      <c r="B8" s="233"/>
      <c r="C8" s="233"/>
      <c r="D8" s="233"/>
      <c r="E8" s="233"/>
      <c r="F8" s="233"/>
      <c r="G8" s="233"/>
      <c r="H8" s="233"/>
      <c r="I8" s="233"/>
      <c r="J8" s="233"/>
      <c r="K8" s="233"/>
      <c r="L8" s="233"/>
      <c r="M8" s="233"/>
      <c r="N8" s="233"/>
      <c r="O8" s="233"/>
      <c r="P8" s="233"/>
      <c r="Q8" s="233"/>
      <c r="R8" s="233"/>
      <c r="S8" s="233"/>
      <c r="T8" s="233"/>
      <c r="U8" s="233"/>
      <c r="V8" s="233"/>
      <c r="W8" s="233"/>
      <c r="X8" s="233"/>
      <c r="Y8" s="233"/>
      <c r="Z8" s="233"/>
      <c r="AA8" s="233"/>
      <c r="AB8" s="233"/>
      <c r="AC8" s="233"/>
      <c r="AD8" s="233"/>
      <c r="AE8" s="233"/>
      <c r="AF8" s="233"/>
      <c r="AG8" s="233"/>
      <c r="AH8" s="233"/>
      <c r="AI8" s="233"/>
      <c r="AJ8" s="233"/>
      <c r="AK8" s="233"/>
      <c r="AL8" s="233"/>
      <c r="AM8" s="233"/>
      <c r="AN8" s="233"/>
      <c r="AO8" s="233"/>
      <c r="AP8" s="233"/>
      <c r="AQ8" s="233"/>
      <c r="AR8" s="233"/>
      <c r="AS8" s="233"/>
      <c r="AT8" s="191"/>
      <c r="AU8" s="191"/>
      <c r="AV8" s="191"/>
      <c r="AW8" s="191"/>
      <c r="AX8" s="191"/>
      <c r="AY8" s="191"/>
      <c r="AZ8" s="191"/>
      <c r="BA8" s="191"/>
      <c r="BB8" s="191"/>
      <c r="BC8" s="191"/>
      <c r="BD8" s="191"/>
      <c r="BE8" s="191"/>
      <c r="BF8" s="191"/>
      <c r="BG8" s="191"/>
      <c r="BH8" s="191"/>
      <c r="BI8" s="191"/>
      <c r="BJ8" s="191"/>
      <c r="BK8" s="191"/>
      <c r="BL8" s="191"/>
      <c r="BM8" s="191"/>
      <c r="BN8" s="191"/>
      <c r="BO8" s="191"/>
      <c r="BP8" s="191"/>
      <c r="BQ8" s="191"/>
      <c r="BR8" s="191"/>
      <c r="BS8" s="191"/>
      <c r="BT8" s="191"/>
      <c r="BU8" s="191"/>
      <c r="BV8" s="191"/>
      <c r="BW8" s="191"/>
      <c r="BX8" s="191"/>
      <c r="BY8" s="191"/>
      <c r="BZ8" s="191"/>
      <c r="CA8" s="191"/>
      <c r="CB8" s="191"/>
      <c r="CC8" s="191"/>
      <c r="CD8" s="191"/>
    </row>
    <row r="9" spans="1:121" s="178" customFormat="1" ht="5.0999999999999996" customHeight="1" x14ac:dyDescent="0.2">
      <c r="A9" s="248"/>
      <c r="B9" s="203"/>
      <c r="C9" s="203"/>
      <c r="D9" s="203"/>
      <c r="E9" s="203"/>
      <c r="F9" s="203"/>
      <c r="G9" s="203"/>
      <c r="H9" s="203"/>
      <c r="I9" s="203"/>
      <c r="J9" s="203"/>
      <c r="K9" s="203"/>
      <c r="L9" s="203"/>
      <c r="M9" s="203"/>
      <c r="N9" s="203"/>
      <c r="O9" s="203"/>
      <c r="P9" s="203"/>
      <c r="Q9" s="203"/>
      <c r="R9" s="203"/>
      <c r="S9" s="203"/>
      <c r="T9" s="203"/>
      <c r="U9" s="203"/>
      <c r="V9" s="203"/>
      <c r="W9" s="203"/>
      <c r="X9" s="203"/>
      <c r="Y9" s="203"/>
      <c r="Z9" s="203"/>
      <c r="AA9" s="203"/>
      <c r="AB9" s="203"/>
      <c r="AC9" s="203"/>
      <c r="AD9" s="203"/>
      <c r="AE9" s="203"/>
      <c r="AF9" s="203"/>
      <c r="AG9" s="203"/>
      <c r="AH9" s="203"/>
      <c r="AI9" s="203"/>
      <c r="AJ9" s="203"/>
      <c r="AK9" s="203"/>
      <c r="AL9" s="203"/>
      <c r="AM9" s="203"/>
      <c r="AN9" s="203"/>
      <c r="AO9" s="203"/>
      <c r="AP9" s="203"/>
      <c r="AQ9" s="203"/>
      <c r="AR9" s="203"/>
      <c r="AS9" s="203"/>
      <c r="AT9" s="203"/>
      <c r="AU9" s="203"/>
      <c r="AV9" s="203"/>
      <c r="AW9" s="203"/>
      <c r="AX9" s="203"/>
      <c r="AY9" s="203"/>
      <c r="AZ9" s="203"/>
      <c r="BA9" s="203"/>
      <c r="BB9" s="203"/>
      <c r="BC9" s="203"/>
      <c r="BD9" s="203"/>
      <c r="BE9" s="203"/>
      <c r="BF9" s="203"/>
      <c r="BG9" s="203"/>
      <c r="BH9" s="203"/>
      <c r="BI9" s="203"/>
      <c r="BJ9" s="203"/>
      <c r="BK9" s="203"/>
      <c r="BL9" s="203"/>
      <c r="BM9" s="203"/>
      <c r="BN9" s="203"/>
      <c r="BO9" s="203"/>
      <c r="BP9" s="203"/>
      <c r="BQ9" s="203"/>
      <c r="BR9" s="203"/>
      <c r="BS9" s="203"/>
      <c r="BT9" s="203"/>
      <c r="BU9" s="203"/>
      <c r="BV9" s="203"/>
      <c r="BW9" s="203"/>
      <c r="BX9" s="203"/>
      <c r="BY9" s="203"/>
      <c r="BZ9" s="203"/>
      <c r="CA9" s="203"/>
      <c r="CB9" s="203"/>
      <c r="CC9" s="203"/>
      <c r="CD9" s="203"/>
    </row>
    <row r="10" spans="1:121" s="251" customFormat="1" ht="15" customHeight="1" x14ac:dyDescent="0.2">
      <c r="A10" s="249" t="s">
        <v>537</v>
      </c>
      <c r="B10" s="165">
        <v>67</v>
      </c>
      <c r="C10" s="165">
        <v>68</v>
      </c>
      <c r="D10" s="165">
        <v>69</v>
      </c>
      <c r="E10" s="165">
        <v>67</v>
      </c>
      <c r="F10" s="165">
        <v>60</v>
      </c>
      <c r="G10" s="165">
        <v>63</v>
      </c>
      <c r="H10" s="165">
        <v>66</v>
      </c>
      <c r="I10" s="165">
        <v>71</v>
      </c>
      <c r="J10" s="165">
        <v>66</v>
      </c>
      <c r="K10" s="165">
        <v>66</v>
      </c>
      <c r="L10" s="165">
        <v>65</v>
      </c>
      <c r="M10" s="165">
        <v>66</v>
      </c>
      <c r="N10" s="165">
        <v>65</v>
      </c>
      <c r="O10" s="165">
        <v>70</v>
      </c>
      <c r="P10" s="165">
        <v>72</v>
      </c>
      <c r="Q10" s="165">
        <v>67</v>
      </c>
      <c r="R10" s="165">
        <v>71</v>
      </c>
      <c r="S10" s="165">
        <v>71</v>
      </c>
      <c r="T10" s="165">
        <v>71</v>
      </c>
      <c r="U10" s="165">
        <v>68</v>
      </c>
      <c r="V10" s="165">
        <v>67</v>
      </c>
      <c r="W10" s="165">
        <v>68</v>
      </c>
      <c r="X10" s="165">
        <v>70</v>
      </c>
      <c r="Y10" s="165">
        <v>66</v>
      </c>
      <c r="Z10" s="165">
        <v>67</v>
      </c>
      <c r="AA10" s="165">
        <v>68</v>
      </c>
      <c r="AB10" s="165">
        <v>70</v>
      </c>
      <c r="AC10" s="165">
        <v>68</v>
      </c>
      <c r="AD10" s="165">
        <v>68</v>
      </c>
      <c r="AE10" s="165">
        <v>71</v>
      </c>
      <c r="AF10" s="165">
        <v>72</v>
      </c>
      <c r="AG10" s="165">
        <v>69</v>
      </c>
      <c r="AH10" s="165">
        <v>69</v>
      </c>
      <c r="AI10" s="165">
        <v>71</v>
      </c>
      <c r="AJ10" s="165">
        <v>70</v>
      </c>
      <c r="AK10" s="165">
        <v>68</v>
      </c>
      <c r="AL10" s="165">
        <v>65</v>
      </c>
      <c r="AM10" s="165">
        <v>71</v>
      </c>
      <c r="AN10" s="165">
        <v>64</v>
      </c>
      <c r="AO10" s="165">
        <v>65</v>
      </c>
      <c r="AP10" s="165">
        <v>69</v>
      </c>
      <c r="AQ10" s="165">
        <v>72</v>
      </c>
      <c r="AR10" s="165">
        <v>69</v>
      </c>
      <c r="AS10" s="220">
        <v>69</v>
      </c>
    </row>
    <row r="11" spans="1:121" s="251" customFormat="1" ht="15" customHeight="1" x14ac:dyDescent="0.2">
      <c r="A11" s="249" t="s">
        <v>538</v>
      </c>
      <c r="B11" s="165">
        <v>31</v>
      </c>
      <c r="C11" s="165">
        <v>31</v>
      </c>
      <c r="D11" s="165">
        <v>30</v>
      </c>
      <c r="E11" s="165">
        <v>31</v>
      </c>
      <c r="F11" s="165">
        <v>39</v>
      </c>
      <c r="G11" s="165">
        <v>36</v>
      </c>
      <c r="H11" s="165">
        <v>33</v>
      </c>
      <c r="I11" s="165">
        <v>31</v>
      </c>
      <c r="J11" s="165">
        <v>33</v>
      </c>
      <c r="K11" s="165">
        <v>32</v>
      </c>
      <c r="L11" s="165">
        <v>34</v>
      </c>
      <c r="M11" s="165">
        <v>33</v>
      </c>
      <c r="N11" s="165">
        <v>33</v>
      </c>
      <c r="O11" s="165">
        <v>29</v>
      </c>
      <c r="P11" s="165">
        <v>29</v>
      </c>
      <c r="Q11" s="165">
        <v>30</v>
      </c>
      <c r="R11" s="165">
        <v>28</v>
      </c>
      <c r="S11" s="165">
        <v>28</v>
      </c>
      <c r="T11" s="165">
        <v>27</v>
      </c>
      <c r="U11" s="165">
        <v>31</v>
      </c>
      <c r="V11" s="165">
        <v>32</v>
      </c>
      <c r="W11" s="165">
        <v>31</v>
      </c>
      <c r="X11" s="165">
        <v>29</v>
      </c>
      <c r="Y11" s="165">
        <v>33</v>
      </c>
      <c r="Z11" s="165">
        <v>32</v>
      </c>
      <c r="AA11" s="165">
        <v>31</v>
      </c>
      <c r="AB11" s="165">
        <v>29</v>
      </c>
      <c r="AC11" s="165">
        <v>31</v>
      </c>
      <c r="AD11" s="165">
        <v>30</v>
      </c>
      <c r="AE11" s="165">
        <v>28</v>
      </c>
      <c r="AF11" s="165">
        <v>27</v>
      </c>
      <c r="AG11" s="165">
        <v>30</v>
      </c>
      <c r="AH11" s="165">
        <v>30</v>
      </c>
      <c r="AI11" s="165">
        <v>28</v>
      </c>
      <c r="AJ11" s="165">
        <v>29</v>
      </c>
      <c r="AK11" s="165">
        <v>31</v>
      </c>
      <c r="AL11" s="165">
        <v>34</v>
      </c>
      <c r="AM11" s="165">
        <v>28</v>
      </c>
      <c r="AN11" s="165">
        <v>34</v>
      </c>
      <c r="AO11" s="165">
        <v>34</v>
      </c>
      <c r="AP11" s="165">
        <v>30</v>
      </c>
      <c r="AQ11" s="165">
        <v>27</v>
      </c>
      <c r="AR11" s="165">
        <v>30</v>
      </c>
      <c r="AS11" s="220">
        <v>30</v>
      </c>
    </row>
    <row r="12" spans="1:121" s="251" customFormat="1" ht="15" customHeight="1" x14ac:dyDescent="0.2">
      <c r="A12" s="249" t="s">
        <v>539</v>
      </c>
      <c r="B12" s="165">
        <v>2</v>
      </c>
      <c r="C12" s="165">
        <v>1</v>
      </c>
      <c r="D12" s="165">
        <v>1</v>
      </c>
      <c r="E12" s="165">
        <v>2</v>
      </c>
      <c r="F12" s="165">
        <v>1</v>
      </c>
      <c r="G12" s="165">
        <v>1</v>
      </c>
      <c r="H12" s="165">
        <v>1</v>
      </c>
      <c r="I12" s="165">
        <v>-2</v>
      </c>
      <c r="J12" s="165">
        <v>1</v>
      </c>
      <c r="K12" s="165">
        <v>2</v>
      </c>
      <c r="L12" s="165">
        <v>1</v>
      </c>
      <c r="M12" s="165">
        <v>1</v>
      </c>
      <c r="N12" s="165">
        <v>2</v>
      </c>
      <c r="O12" s="165">
        <v>1</v>
      </c>
      <c r="P12" s="165">
        <v>-1</v>
      </c>
      <c r="Q12" s="165">
        <v>3</v>
      </c>
      <c r="R12" s="165">
        <v>1</v>
      </c>
      <c r="S12" s="165">
        <v>1</v>
      </c>
      <c r="T12" s="165">
        <v>2</v>
      </c>
      <c r="U12" s="165">
        <v>1</v>
      </c>
      <c r="V12" s="165">
        <v>1</v>
      </c>
      <c r="W12" s="165">
        <v>1</v>
      </c>
      <c r="X12" s="165">
        <v>1</v>
      </c>
      <c r="Y12" s="165">
        <v>1</v>
      </c>
      <c r="Z12" s="165">
        <v>1</v>
      </c>
      <c r="AA12" s="165">
        <v>1</v>
      </c>
      <c r="AB12" s="165">
        <v>1</v>
      </c>
      <c r="AC12" s="165">
        <v>1</v>
      </c>
      <c r="AD12" s="165">
        <v>2</v>
      </c>
      <c r="AE12" s="165">
        <v>1</v>
      </c>
      <c r="AF12" s="165">
        <v>1</v>
      </c>
      <c r="AG12" s="165">
        <v>1</v>
      </c>
      <c r="AH12" s="165">
        <v>1</v>
      </c>
      <c r="AI12" s="165">
        <v>1</v>
      </c>
      <c r="AJ12" s="165">
        <v>1</v>
      </c>
      <c r="AK12" s="165">
        <v>1</v>
      </c>
      <c r="AL12" s="165">
        <v>1</v>
      </c>
      <c r="AM12" s="165">
        <v>1</v>
      </c>
      <c r="AN12" s="165">
        <v>2</v>
      </c>
      <c r="AO12" s="165">
        <v>1</v>
      </c>
      <c r="AP12" s="165">
        <v>1</v>
      </c>
      <c r="AQ12" s="165">
        <v>1</v>
      </c>
      <c r="AR12" s="165">
        <v>1</v>
      </c>
      <c r="AS12" s="220">
        <v>1</v>
      </c>
    </row>
    <row r="13" spans="1:121" s="251" customFormat="1" ht="5.0999999999999996" customHeight="1" x14ac:dyDescent="0.2">
      <c r="A13" s="252"/>
      <c r="B13" s="250"/>
      <c r="C13" s="250"/>
      <c r="D13" s="250"/>
      <c r="E13" s="250"/>
      <c r="F13" s="250" t="s">
        <v>6</v>
      </c>
      <c r="G13" s="250"/>
      <c r="H13" s="250"/>
      <c r="I13" s="250"/>
      <c r="J13" s="250"/>
      <c r="K13" s="250"/>
      <c r="L13" s="250"/>
      <c r="M13" s="250"/>
      <c r="N13" s="250"/>
      <c r="O13" s="250"/>
      <c r="P13" s="250"/>
      <c r="Q13" s="250"/>
      <c r="R13" s="250"/>
      <c r="S13" s="250"/>
      <c r="T13" s="250"/>
      <c r="U13" s="250"/>
      <c r="V13" s="250"/>
      <c r="W13" s="250"/>
      <c r="X13" s="250"/>
      <c r="Y13" s="250"/>
      <c r="Z13" s="250"/>
      <c r="AA13" s="250"/>
      <c r="AB13" s="250"/>
      <c r="AC13" s="250"/>
      <c r="AD13" s="250"/>
      <c r="AE13" s="250"/>
      <c r="AF13" s="250"/>
      <c r="AG13" s="250"/>
      <c r="AH13" s="250"/>
      <c r="AI13" s="250"/>
      <c r="AJ13" s="250"/>
      <c r="AK13" s="250"/>
      <c r="AL13" s="250"/>
      <c r="AM13" s="250"/>
      <c r="AN13" s="250"/>
      <c r="AO13" s="250"/>
      <c r="AP13" s="250"/>
      <c r="AQ13" s="250"/>
      <c r="AR13" s="250"/>
      <c r="AS13" s="250"/>
    </row>
    <row r="14" spans="1:121" s="178" customFormat="1" ht="15" customHeight="1" thickBot="1" x14ac:dyDescent="0.25">
      <c r="A14" s="175" t="s">
        <v>10</v>
      </c>
      <c r="B14" s="176">
        <f t="shared" ref="B14:AL14" si="0">SUM(B10:B13)</f>
        <v>100</v>
      </c>
      <c r="C14" s="176">
        <f t="shared" si="0"/>
        <v>100</v>
      </c>
      <c r="D14" s="176">
        <f t="shared" si="0"/>
        <v>100</v>
      </c>
      <c r="E14" s="176">
        <f t="shared" si="0"/>
        <v>100</v>
      </c>
      <c r="F14" s="176">
        <f t="shared" si="0"/>
        <v>100</v>
      </c>
      <c r="G14" s="176">
        <f t="shared" si="0"/>
        <v>100</v>
      </c>
      <c r="H14" s="176">
        <f t="shared" si="0"/>
        <v>100</v>
      </c>
      <c r="I14" s="176">
        <f t="shared" si="0"/>
        <v>100</v>
      </c>
      <c r="J14" s="176">
        <f t="shared" si="0"/>
        <v>100</v>
      </c>
      <c r="K14" s="176">
        <f t="shared" si="0"/>
        <v>100</v>
      </c>
      <c r="L14" s="176">
        <f t="shared" si="0"/>
        <v>100</v>
      </c>
      <c r="M14" s="176">
        <f t="shared" si="0"/>
        <v>100</v>
      </c>
      <c r="N14" s="176">
        <f t="shared" si="0"/>
        <v>100</v>
      </c>
      <c r="O14" s="176">
        <f t="shared" si="0"/>
        <v>100</v>
      </c>
      <c r="P14" s="176">
        <f t="shared" si="0"/>
        <v>100</v>
      </c>
      <c r="Q14" s="176">
        <f t="shared" si="0"/>
        <v>100</v>
      </c>
      <c r="R14" s="176">
        <f t="shared" si="0"/>
        <v>100</v>
      </c>
      <c r="S14" s="176">
        <f t="shared" si="0"/>
        <v>100</v>
      </c>
      <c r="T14" s="176">
        <f t="shared" si="0"/>
        <v>100</v>
      </c>
      <c r="U14" s="176">
        <f t="shared" si="0"/>
        <v>100</v>
      </c>
      <c r="V14" s="176">
        <f t="shared" si="0"/>
        <v>100</v>
      </c>
      <c r="W14" s="176">
        <f t="shared" si="0"/>
        <v>100</v>
      </c>
      <c r="X14" s="176">
        <f t="shared" si="0"/>
        <v>100</v>
      </c>
      <c r="Y14" s="176">
        <f t="shared" si="0"/>
        <v>100</v>
      </c>
      <c r="Z14" s="176">
        <f t="shared" si="0"/>
        <v>100</v>
      </c>
      <c r="AA14" s="176">
        <f t="shared" si="0"/>
        <v>100</v>
      </c>
      <c r="AB14" s="176">
        <f t="shared" si="0"/>
        <v>100</v>
      </c>
      <c r="AC14" s="176">
        <f t="shared" si="0"/>
        <v>100</v>
      </c>
      <c r="AD14" s="176">
        <f t="shared" si="0"/>
        <v>100</v>
      </c>
      <c r="AE14" s="176">
        <f t="shared" si="0"/>
        <v>100</v>
      </c>
      <c r="AF14" s="176">
        <f t="shared" si="0"/>
        <v>100</v>
      </c>
      <c r="AG14" s="176">
        <f t="shared" si="0"/>
        <v>100</v>
      </c>
      <c r="AH14" s="176">
        <f t="shared" si="0"/>
        <v>100</v>
      </c>
      <c r="AI14" s="176">
        <f t="shared" si="0"/>
        <v>100</v>
      </c>
      <c r="AJ14" s="176">
        <f t="shared" si="0"/>
        <v>100</v>
      </c>
      <c r="AK14" s="176">
        <f t="shared" si="0"/>
        <v>100</v>
      </c>
      <c r="AL14" s="176">
        <f t="shared" si="0"/>
        <v>100</v>
      </c>
      <c r="AM14" s="176">
        <f t="shared" ref="AM14:AR14" si="1">SUM(AM10:AM13)</f>
        <v>100</v>
      </c>
      <c r="AN14" s="176">
        <f t="shared" si="1"/>
        <v>100</v>
      </c>
      <c r="AO14" s="176">
        <f t="shared" si="1"/>
        <v>100</v>
      </c>
      <c r="AP14" s="176">
        <f t="shared" si="1"/>
        <v>100</v>
      </c>
      <c r="AQ14" s="176">
        <f t="shared" si="1"/>
        <v>100</v>
      </c>
      <c r="AR14" s="176">
        <f t="shared" si="1"/>
        <v>100</v>
      </c>
      <c r="AS14" s="375">
        <f t="shared" ref="AS14" si="2">SUM(AS10:AS13)</f>
        <v>100</v>
      </c>
      <c r="AT14" s="193"/>
      <c r="AU14" s="193"/>
      <c r="AV14" s="193"/>
      <c r="AW14" s="193"/>
      <c r="AX14" s="193"/>
      <c r="AY14" s="193"/>
      <c r="AZ14" s="193"/>
      <c r="BA14" s="193"/>
      <c r="BB14" s="193"/>
      <c r="BC14" s="193"/>
      <c r="BD14" s="193"/>
      <c r="BE14" s="193"/>
      <c r="BF14" s="193"/>
      <c r="BG14" s="193"/>
      <c r="BH14" s="193"/>
      <c r="BI14" s="193"/>
      <c r="BJ14" s="193"/>
      <c r="BK14" s="193"/>
      <c r="BL14" s="193"/>
      <c r="BM14" s="193"/>
      <c r="BN14" s="193"/>
      <c r="BO14" s="193"/>
      <c r="BP14" s="193"/>
      <c r="BQ14" s="193"/>
      <c r="BR14" s="193"/>
      <c r="BS14" s="193"/>
      <c r="BT14" s="193"/>
      <c r="BU14" s="193"/>
      <c r="BV14" s="193"/>
      <c r="BW14" s="193"/>
      <c r="BX14" s="193"/>
      <c r="BY14" s="193"/>
      <c r="BZ14" s="193"/>
      <c r="CA14" s="193"/>
      <c r="CB14" s="193"/>
      <c r="CC14" s="193"/>
      <c r="CD14" s="193"/>
      <c r="CE14" s="193"/>
      <c r="CF14" s="193"/>
      <c r="CG14" s="193"/>
      <c r="CH14" s="193"/>
      <c r="CI14" s="193"/>
      <c r="CJ14" s="193"/>
      <c r="CK14" s="193"/>
      <c r="CL14" s="193"/>
      <c r="CM14" s="193"/>
      <c r="CN14" s="193"/>
      <c r="CO14" s="193"/>
      <c r="CP14" s="193"/>
      <c r="CQ14" s="193"/>
      <c r="CR14" s="193"/>
      <c r="CS14" s="193"/>
      <c r="CT14" s="193"/>
      <c r="CU14" s="193"/>
      <c r="CV14" s="193"/>
      <c r="CW14" s="193"/>
      <c r="CX14" s="193"/>
      <c r="CY14" s="193"/>
      <c r="CZ14" s="193"/>
      <c r="DA14" s="193"/>
      <c r="DB14" s="193"/>
      <c r="DC14" s="193"/>
      <c r="DD14" s="193"/>
      <c r="DE14" s="193"/>
      <c r="DF14" s="193"/>
      <c r="DG14" s="193"/>
      <c r="DH14" s="193"/>
      <c r="DI14" s="193"/>
      <c r="DJ14" s="193"/>
      <c r="DK14" s="193"/>
      <c r="DL14" s="193"/>
      <c r="DM14" s="193"/>
      <c r="DN14" s="193"/>
      <c r="DO14" s="193"/>
      <c r="DP14" s="193"/>
      <c r="DQ14" s="193"/>
    </row>
    <row r="15" spans="1:121" ht="12.95" customHeight="1" thickTop="1" x14ac:dyDescent="0.2">
      <c r="A15" s="68"/>
      <c r="B15" s="69"/>
      <c r="C15" s="69"/>
      <c r="D15" s="69"/>
      <c r="E15" s="69"/>
      <c r="F15" s="69"/>
      <c r="G15" s="69"/>
      <c r="H15" s="68"/>
      <c r="I15" s="68"/>
      <c r="J15" s="7"/>
      <c r="K15" s="7"/>
      <c r="L15" s="7"/>
      <c r="M15" s="7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</row>
    <row r="16" spans="1:121" s="71" customFormat="1" ht="11.25" x14ac:dyDescent="0.2">
      <c r="A16" s="70"/>
      <c r="B16" s="70"/>
      <c r="C16" s="70"/>
      <c r="D16" s="70"/>
      <c r="E16" s="70"/>
      <c r="F16" s="70"/>
      <c r="G16" s="70"/>
      <c r="H16" s="70"/>
      <c r="I16" s="70"/>
      <c r="J16" s="78"/>
      <c r="K16" s="78"/>
      <c r="L16" s="78"/>
      <c r="M16" s="78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  <c r="AE16" s="70"/>
      <c r="AF16" s="70"/>
      <c r="AG16" s="70"/>
      <c r="AH16" s="70"/>
      <c r="AI16" s="70"/>
      <c r="AJ16" s="70"/>
      <c r="AK16" s="70"/>
    </row>
    <row r="17" spans="1:41" s="71" customFormat="1" ht="11.25" x14ac:dyDescent="0.2">
      <c r="A17" s="70"/>
      <c r="B17" s="70"/>
      <c r="C17" s="70"/>
      <c r="D17" s="70"/>
      <c r="E17" s="70"/>
      <c r="F17" s="70"/>
      <c r="G17" s="70"/>
      <c r="H17" s="70"/>
      <c r="I17" s="70"/>
      <c r="J17" s="78"/>
      <c r="K17" s="78"/>
      <c r="L17" s="78"/>
      <c r="M17" s="78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  <c r="AE17" s="70"/>
      <c r="AF17" s="70"/>
      <c r="AG17" s="70"/>
      <c r="AH17" s="70"/>
      <c r="AI17" s="70"/>
      <c r="AJ17" s="70"/>
      <c r="AK17" s="70"/>
    </row>
    <row r="18" spans="1:41" s="71" customFormat="1" ht="11.25" x14ac:dyDescent="0.2">
      <c r="A18" s="70"/>
      <c r="B18" s="70"/>
      <c r="C18" s="70"/>
      <c r="D18" s="70"/>
      <c r="E18" s="70"/>
      <c r="F18" s="70"/>
      <c r="G18" s="70"/>
      <c r="H18" s="70"/>
      <c r="I18" s="70"/>
      <c r="J18" s="78"/>
      <c r="K18" s="78"/>
      <c r="L18" s="78"/>
      <c r="M18" s="78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  <c r="AE18" s="70"/>
      <c r="AF18" s="70"/>
      <c r="AG18" s="70"/>
      <c r="AH18" s="70"/>
      <c r="AI18" s="70"/>
      <c r="AJ18" s="70"/>
      <c r="AK18" s="70"/>
    </row>
    <row r="19" spans="1:41" s="71" customFormat="1" ht="11.25" x14ac:dyDescent="0.2">
      <c r="A19" s="70"/>
      <c r="B19" s="70"/>
      <c r="C19" s="70"/>
      <c r="D19" s="70"/>
      <c r="E19" s="70"/>
      <c r="F19" s="70"/>
      <c r="G19" s="70"/>
      <c r="H19" s="70"/>
      <c r="I19" s="70"/>
      <c r="J19" s="78"/>
      <c r="K19" s="78"/>
      <c r="L19" s="78"/>
      <c r="M19" s="78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  <c r="AE19" s="70"/>
      <c r="AF19" s="70"/>
      <c r="AG19" s="70"/>
      <c r="AH19" s="70"/>
      <c r="AI19" s="70"/>
      <c r="AJ19" s="70"/>
      <c r="AK19" s="70"/>
    </row>
    <row r="20" spans="1:41" s="71" customFormat="1" ht="11.25" x14ac:dyDescent="0.2">
      <c r="A20" s="70"/>
      <c r="B20" s="70"/>
      <c r="C20" s="70"/>
      <c r="D20" s="70"/>
      <c r="E20" s="70"/>
      <c r="F20" s="70"/>
      <c r="G20" s="70"/>
      <c r="H20" s="70"/>
      <c r="I20" s="70"/>
      <c r="J20" s="78"/>
      <c r="K20" s="78"/>
      <c r="L20" s="78"/>
      <c r="M20" s="78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  <c r="AE20" s="70"/>
      <c r="AF20" s="70"/>
      <c r="AG20" s="70"/>
      <c r="AH20" s="70"/>
      <c r="AI20" s="70"/>
      <c r="AJ20" s="70"/>
      <c r="AK20" s="70"/>
    </row>
    <row r="21" spans="1:41" s="71" customFormat="1" x14ac:dyDescent="0.2">
      <c r="A21" s="70"/>
      <c r="B21" s="72"/>
      <c r="C21" s="72"/>
      <c r="D21" s="72"/>
      <c r="E21" s="72"/>
      <c r="F21" s="72"/>
      <c r="G21" s="72"/>
      <c r="H21" s="70"/>
      <c r="I21" s="70"/>
      <c r="J21" s="78"/>
      <c r="K21" s="78"/>
      <c r="L21" s="78"/>
      <c r="M21" s="78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  <c r="AE21" s="70"/>
      <c r="AF21" s="70"/>
      <c r="AG21" s="70"/>
      <c r="AH21" s="70"/>
      <c r="AI21" s="70"/>
      <c r="AJ21" s="70"/>
      <c r="AK21" s="70"/>
      <c r="AL21" s="67"/>
      <c r="AM21" s="67"/>
      <c r="AO21" s="67"/>
    </row>
    <row r="22" spans="1:41" s="71" customFormat="1" x14ac:dyDescent="0.2">
      <c r="A22" s="70"/>
      <c r="B22" s="72"/>
      <c r="C22" s="72"/>
      <c r="D22" s="72"/>
      <c r="E22" s="72"/>
      <c r="F22" s="72"/>
      <c r="G22" s="72"/>
      <c r="H22" s="70"/>
      <c r="I22" s="70"/>
      <c r="J22" s="78"/>
      <c r="K22" s="78"/>
      <c r="L22" s="78"/>
      <c r="M22" s="78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67"/>
      <c r="AM22" s="67"/>
      <c r="AO22" s="67"/>
    </row>
    <row r="23" spans="1:41" s="71" customFormat="1" ht="11.25" x14ac:dyDescent="0.2">
      <c r="A23" s="70"/>
      <c r="B23" s="70"/>
      <c r="C23" s="70"/>
      <c r="D23" s="70"/>
      <c r="E23" s="70"/>
      <c r="F23" s="70"/>
      <c r="G23" s="70"/>
      <c r="H23" s="70"/>
      <c r="I23" s="70"/>
      <c r="J23" s="78"/>
      <c r="K23" s="78"/>
      <c r="L23" s="78"/>
      <c r="M23" s="78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  <c r="AE23" s="70"/>
      <c r="AF23" s="70"/>
      <c r="AG23" s="70"/>
      <c r="AH23" s="70"/>
      <c r="AI23" s="70"/>
      <c r="AJ23" s="70"/>
      <c r="AK23" s="70"/>
    </row>
    <row r="24" spans="1:41" s="71" customFormat="1" ht="11.25" x14ac:dyDescent="0.2">
      <c r="A24" s="70"/>
      <c r="B24" s="70"/>
      <c r="C24" s="70"/>
      <c r="D24" s="70"/>
      <c r="E24" s="70"/>
      <c r="F24" s="70"/>
      <c r="G24" s="70"/>
      <c r="H24" s="70"/>
      <c r="I24" s="70"/>
      <c r="J24" s="78"/>
      <c r="K24" s="78"/>
      <c r="L24" s="78"/>
      <c r="M24" s="78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</row>
    <row r="25" spans="1:41" s="71" customFormat="1" ht="11.25" x14ac:dyDescent="0.2">
      <c r="A25" s="70"/>
      <c r="B25" s="70"/>
      <c r="C25" s="70"/>
      <c r="D25" s="70"/>
      <c r="E25" s="70"/>
      <c r="F25" s="70"/>
      <c r="G25" s="70"/>
      <c r="H25" s="70"/>
      <c r="I25" s="70"/>
      <c r="J25" s="78"/>
      <c r="K25" s="78"/>
      <c r="L25" s="78"/>
      <c r="M25" s="78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  <c r="AE25" s="70"/>
      <c r="AF25" s="70"/>
      <c r="AG25" s="70"/>
      <c r="AH25" s="70"/>
      <c r="AI25" s="70"/>
      <c r="AJ25" s="70"/>
      <c r="AK25" s="70"/>
    </row>
    <row r="26" spans="1:41" s="71" customFormat="1" ht="11.25" x14ac:dyDescent="0.2">
      <c r="A26" s="70"/>
      <c r="B26" s="70"/>
      <c r="C26" s="70"/>
      <c r="D26" s="70"/>
      <c r="E26" s="70"/>
      <c r="F26" s="70"/>
      <c r="G26" s="70"/>
      <c r="H26" s="70"/>
      <c r="I26" s="70"/>
      <c r="J26" s="78"/>
      <c r="K26" s="78"/>
      <c r="L26" s="78"/>
      <c r="M26" s="78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  <c r="AE26" s="70"/>
      <c r="AF26" s="70"/>
      <c r="AG26" s="70"/>
      <c r="AH26" s="70"/>
      <c r="AI26" s="70"/>
      <c r="AJ26" s="70"/>
      <c r="AK26" s="70"/>
    </row>
    <row r="27" spans="1:41" s="71" customFormat="1" ht="11.25" x14ac:dyDescent="0.2">
      <c r="A27" s="70"/>
      <c r="B27" s="70"/>
      <c r="C27" s="70"/>
      <c r="D27" s="70"/>
      <c r="E27" s="70"/>
      <c r="F27" s="70"/>
      <c r="G27" s="70"/>
      <c r="H27" s="70"/>
      <c r="I27" s="70"/>
      <c r="J27" s="78"/>
      <c r="K27" s="78"/>
      <c r="L27" s="78"/>
      <c r="M27" s="78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  <c r="AE27" s="70"/>
      <c r="AF27" s="70"/>
      <c r="AG27" s="70"/>
      <c r="AH27" s="70"/>
      <c r="AI27" s="70"/>
      <c r="AJ27" s="70"/>
      <c r="AK27" s="70"/>
    </row>
    <row r="28" spans="1:41" s="71" customFormat="1" ht="11.25" x14ac:dyDescent="0.2">
      <c r="A28" s="70"/>
      <c r="B28" s="70"/>
      <c r="C28" s="70"/>
      <c r="D28" s="70"/>
      <c r="E28" s="70"/>
      <c r="F28" s="70"/>
      <c r="G28" s="70"/>
      <c r="H28" s="70"/>
      <c r="I28" s="70"/>
      <c r="J28" s="78"/>
      <c r="K28" s="78"/>
      <c r="L28" s="78"/>
      <c r="M28" s="78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0"/>
      <c r="AC28" s="70"/>
      <c r="AD28" s="70"/>
      <c r="AE28" s="70"/>
      <c r="AF28" s="70"/>
      <c r="AG28" s="70"/>
      <c r="AH28" s="70"/>
      <c r="AI28" s="70"/>
      <c r="AJ28" s="70"/>
      <c r="AK28" s="70"/>
    </row>
    <row r="29" spans="1:41" s="71" customFormat="1" ht="11.25" x14ac:dyDescent="0.2">
      <c r="A29" s="70"/>
      <c r="B29" s="70"/>
      <c r="C29" s="70"/>
      <c r="D29" s="70"/>
      <c r="E29" s="70"/>
      <c r="F29" s="70"/>
      <c r="G29" s="70"/>
      <c r="H29" s="70"/>
      <c r="I29" s="70"/>
      <c r="J29" s="78"/>
      <c r="K29" s="78"/>
      <c r="L29" s="78"/>
      <c r="M29" s="78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  <c r="AE29" s="70"/>
      <c r="AF29" s="70"/>
      <c r="AG29" s="70"/>
      <c r="AH29" s="70"/>
      <c r="AI29" s="70"/>
      <c r="AJ29" s="70"/>
      <c r="AK29" s="70"/>
    </row>
    <row r="30" spans="1:41" s="71" customFormat="1" ht="11.25" x14ac:dyDescent="0.2">
      <c r="A30" s="70"/>
      <c r="B30" s="70"/>
      <c r="C30" s="70"/>
      <c r="D30" s="70"/>
      <c r="E30" s="70"/>
      <c r="F30" s="70"/>
      <c r="G30" s="70"/>
      <c r="H30" s="70"/>
      <c r="I30" s="70"/>
      <c r="J30" s="78"/>
      <c r="K30" s="78"/>
      <c r="L30" s="78"/>
      <c r="M30" s="78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  <c r="AE30" s="70"/>
      <c r="AF30" s="70"/>
      <c r="AG30" s="70"/>
      <c r="AH30" s="70"/>
      <c r="AI30" s="70"/>
      <c r="AJ30" s="70"/>
      <c r="AK30" s="70"/>
    </row>
    <row r="31" spans="1:41" s="71" customFormat="1" ht="11.25" x14ac:dyDescent="0.2">
      <c r="A31" s="70"/>
      <c r="B31" s="70"/>
      <c r="C31" s="70"/>
      <c r="D31" s="70"/>
      <c r="E31" s="70"/>
      <c r="F31" s="70"/>
      <c r="G31" s="70"/>
      <c r="H31" s="70"/>
      <c r="I31" s="70"/>
      <c r="J31" s="78"/>
      <c r="K31" s="78"/>
      <c r="L31" s="78"/>
      <c r="M31" s="78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</row>
    <row r="32" spans="1:41" s="71" customFormat="1" ht="11.25" x14ac:dyDescent="0.2">
      <c r="A32" s="70"/>
      <c r="B32" s="70"/>
      <c r="C32" s="70"/>
      <c r="D32" s="70"/>
      <c r="E32" s="70"/>
      <c r="F32" s="70"/>
      <c r="G32" s="70"/>
      <c r="H32" s="70"/>
      <c r="I32" s="70"/>
      <c r="J32" s="78"/>
      <c r="K32" s="78"/>
      <c r="L32" s="78"/>
      <c r="M32" s="78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</row>
    <row r="33" spans="1:37" s="71" customFormat="1" ht="11.25" x14ac:dyDescent="0.2">
      <c r="A33" s="70"/>
      <c r="B33" s="70"/>
      <c r="C33" s="70"/>
      <c r="D33" s="70"/>
      <c r="E33" s="70"/>
      <c r="F33" s="70"/>
      <c r="G33" s="70"/>
      <c r="H33" s="70"/>
      <c r="I33" s="70"/>
      <c r="J33" s="78"/>
      <c r="K33" s="78"/>
      <c r="L33" s="78"/>
      <c r="M33" s="78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70"/>
      <c r="AG33" s="70"/>
      <c r="AH33" s="70"/>
      <c r="AI33" s="70"/>
      <c r="AJ33" s="70"/>
      <c r="AK33" s="70"/>
    </row>
    <row r="34" spans="1:37" s="71" customFormat="1" ht="11.25" x14ac:dyDescent="0.2">
      <c r="A34" s="70"/>
      <c r="B34" s="70"/>
      <c r="C34" s="70"/>
      <c r="D34" s="70"/>
      <c r="E34" s="70"/>
      <c r="F34" s="70"/>
      <c r="G34" s="70"/>
      <c r="H34" s="70"/>
      <c r="I34" s="70"/>
      <c r="J34" s="78"/>
      <c r="K34" s="78"/>
      <c r="L34" s="78"/>
      <c r="M34" s="78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  <c r="AE34" s="70"/>
      <c r="AF34" s="70"/>
      <c r="AG34" s="70"/>
      <c r="AH34" s="70"/>
      <c r="AI34" s="70"/>
      <c r="AJ34" s="70"/>
      <c r="AK34" s="70"/>
    </row>
    <row r="35" spans="1:37" s="71" customFormat="1" ht="11.25" x14ac:dyDescent="0.2">
      <c r="A35" s="70"/>
      <c r="B35" s="70"/>
      <c r="C35" s="70"/>
      <c r="D35" s="70"/>
      <c r="E35" s="70"/>
      <c r="F35" s="70"/>
      <c r="G35" s="70"/>
      <c r="H35" s="70"/>
      <c r="I35" s="70"/>
      <c r="J35" s="78"/>
      <c r="K35" s="78"/>
      <c r="L35" s="78"/>
      <c r="M35" s="78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0"/>
      <c r="AE35" s="70"/>
      <c r="AF35" s="70"/>
      <c r="AG35" s="70"/>
      <c r="AH35" s="70"/>
      <c r="AI35" s="70"/>
      <c r="AJ35" s="70"/>
      <c r="AK35" s="70"/>
    </row>
    <row r="36" spans="1:37" s="71" customFormat="1" ht="11.25" x14ac:dyDescent="0.2">
      <c r="A36" s="70"/>
      <c r="B36" s="70"/>
      <c r="C36" s="70"/>
      <c r="D36" s="70"/>
      <c r="E36" s="70"/>
      <c r="F36" s="70"/>
      <c r="G36" s="70"/>
      <c r="H36" s="70"/>
      <c r="I36" s="70"/>
      <c r="J36" s="78"/>
      <c r="K36" s="78"/>
      <c r="L36" s="78"/>
      <c r="M36" s="78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0"/>
      <c r="AE36" s="70"/>
      <c r="AF36" s="70"/>
      <c r="AG36" s="70"/>
      <c r="AH36" s="70"/>
      <c r="AI36" s="70"/>
      <c r="AJ36" s="70"/>
      <c r="AK36" s="70"/>
    </row>
    <row r="37" spans="1:37" s="71" customFormat="1" ht="11.25" x14ac:dyDescent="0.2">
      <c r="A37" s="70"/>
      <c r="B37" s="70"/>
      <c r="C37" s="70"/>
      <c r="D37" s="70"/>
      <c r="E37" s="70"/>
      <c r="F37" s="70"/>
      <c r="G37" s="70"/>
      <c r="H37" s="70"/>
      <c r="I37" s="70"/>
      <c r="J37" s="78"/>
      <c r="K37" s="78"/>
      <c r="L37" s="78"/>
      <c r="M37" s="78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0"/>
      <c r="AE37" s="70"/>
      <c r="AF37" s="70"/>
      <c r="AG37" s="70"/>
      <c r="AH37" s="70"/>
      <c r="AI37" s="70"/>
      <c r="AJ37" s="70"/>
      <c r="AK37" s="70"/>
    </row>
    <row r="38" spans="1:37" s="71" customFormat="1" ht="11.25" x14ac:dyDescent="0.2">
      <c r="A38" s="70"/>
      <c r="B38" s="70"/>
      <c r="C38" s="70"/>
      <c r="D38" s="70"/>
      <c r="E38" s="70"/>
      <c r="F38" s="70"/>
      <c r="G38" s="70"/>
      <c r="H38" s="70"/>
      <c r="I38" s="70"/>
      <c r="J38" s="78"/>
      <c r="K38" s="78"/>
      <c r="L38" s="78"/>
      <c r="M38" s="78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0"/>
      <c r="AE38" s="70"/>
      <c r="AF38" s="70"/>
      <c r="AG38" s="70"/>
      <c r="AH38" s="70"/>
      <c r="AI38" s="70"/>
      <c r="AJ38" s="70"/>
      <c r="AK38" s="70"/>
    </row>
    <row r="39" spans="1:37" s="71" customFormat="1" ht="11.25" x14ac:dyDescent="0.2">
      <c r="A39" s="70"/>
      <c r="B39" s="70"/>
      <c r="C39" s="70"/>
      <c r="D39" s="70"/>
      <c r="E39" s="70"/>
      <c r="F39" s="70"/>
      <c r="G39" s="70"/>
      <c r="H39" s="70"/>
      <c r="I39" s="70"/>
      <c r="J39" s="78"/>
      <c r="K39" s="78"/>
      <c r="L39" s="78"/>
      <c r="M39" s="78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0"/>
      <c r="AE39" s="70"/>
      <c r="AF39" s="70"/>
      <c r="AG39" s="70"/>
      <c r="AH39" s="70"/>
      <c r="AI39" s="70"/>
      <c r="AJ39" s="70"/>
      <c r="AK39" s="70"/>
    </row>
    <row r="40" spans="1:37" s="71" customFormat="1" ht="11.25" x14ac:dyDescent="0.2">
      <c r="A40" s="70"/>
      <c r="B40" s="70"/>
      <c r="C40" s="70"/>
      <c r="D40" s="70"/>
      <c r="E40" s="70"/>
      <c r="F40" s="70"/>
      <c r="G40" s="70"/>
      <c r="H40" s="70"/>
      <c r="I40" s="70"/>
      <c r="J40" s="78"/>
      <c r="K40" s="78"/>
      <c r="L40" s="78"/>
      <c r="M40" s="78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0"/>
      <c r="AE40" s="70"/>
      <c r="AF40" s="70"/>
      <c r="AG40" s="70"/>
      <c r="AH40" s="70"/>
      <c r="AI40" s="70"/>
      <c r="AJ40" s="70"/>
      <c r="AK40" s="70"/>
    </row>
    <row r="41" spans="1:37" s="71" customFormat="1" ht="11.25" x14ac:dyDescent="0.2">
      <c r="A41" s="70"/>
      <c r="B41" s="70"/>
      <c r="C41" s="70"/>
      <c r="D41" s="70"/>
      <c r="E41" s="70"/>
      <c r="F41" s="70"/>
      <c r="G41" s="70"/>
      <c r="H41" s="70"/>
      <c r="I41" s="70"/>
      <c r="J41" s="78"/>
      <c r="K41" s="78"/>
      <c r="L41" s="78"/>
      <c r="M41" s="78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</row>
    <row r="42" spans="1:37" s="71" customFormat="1" ht="11.25" x14ac:dyDescent="0.2">
      <c r="A42" s="70"/>
      <c r="B42" s="70"/>
      <c r="C42" s="70"/>
      <c r="D42" s="70"/>
      <c r="E42" s="70"/>
      <c r="F42" s="70"/>
      <c r="G42" s="70"/>
      <c r="H42" s="70"/>
      <c r="I42" s="70"/>
      <c r="J42" s="78"/>
      <c r="K42" s="78"/>
      <c r="L42" s="78"/>
      <c r="M42" s="78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0"/>
      <c r="AE42" s="70"/>
      <c r="AF42" s="70"/>
      <c r="AG42" s="70"/>
      <c r="AH42" s="70"/>
      <c r="AI42" s="70"/>
      <c r="AJ42" s="70"/>
      <c r="AK42" s="70"/>
    </row>
    <row r="43" spans="1:37" s="71" customFormat="1" ht="11.25" x14ac:dyDescent="0.2">
      <c r="A43" s="70"/>
      <c r="B43" s="70"/>
      <c r="C43" s="70"/>
      <c r="D43" s="70"/>
      <c r="E43" s="70"/>
      <c r="F43" s="70"/>
      <c r="G43" s="70"/>
      <c r="H43" s="70"/>
      <c r="I43" s="70"/>
      <c r="J43" s="78"/>
      <c r="K43" s="78"/>
      <c r="L43" s="78"/>
      <c r="M43" s="78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0"/>
      <c r="AE43" s="70"/>
      <c r="AF43" s="70"/>
      <c r="AG43" s="70"/>
      <c r="AH43" s="70"/>
      <c r="AI43" s="70"/>
      <c r="AJ43" s="70"/>
      <c r="AK43" s="70"/>
    </row>
    <row r="44" spans="1:37" s="71" customFormat="1" ht="11.25" x14ac:dyDescent="0.2">
      <c r="A44" s="70"/>
      <c r="B44" s="70"/>
      <c r="C44" s="70"/>
      <c r="D44" s="70"/>
      <c r="E44" s="70"/>
      <c r="F44" s="70"/>
      <c r="G44" s="70"/>
      <c r="H44" s="70"/>
      <c r="I44" s="70"/>
      <c r="J44" s="78"/>
      <c r="K44" s="78"/>
      <c r="L44" s="78"/>
      <c r="M44" s="78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  <c r="AA44" s="70"/>
      <c r="AB44" s="70"/>
      <c r="AC44" s="70"/>
      <c r="AD44" s="70"/>
      <c r="AE44" s="70"/>
      <c r="AF44" s="70"/>
      <c r="AG44" s="70"/>
      <c r="AH44" s="70"/>
      <c r="AI44" s="70"/>
      <c r="AJ44" s="70"/>
      <c r="AK44" s="70"/>
    </row>
    <row r="45" spans="1:37" s="71" customFormat="1" ht="11.25" x14ac:dyDescent="0.2">
      <c r="A45" s="70"/>
      <c r="B45" s="70"/>
      <c r="C45" s="70"/>
      <c r="D45" s="70"/>
      <c r="E45" s="70"/>
      <c r="F45" s="70"/>
      <c r="G45" s="70"/>
      <c r="H45" s="70"/>
      <c r="I45" s="70"/>
      <c r="J45" s="78"/>
      <c r="K45" s="78"/>
      <c r="L45" s="78"/>
      <c r="M45" s="78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0"/>
      <c r="AC45" s="70"/>
      <c r="AD45" s="70"/>
      <c r="AE45" s="70"/>
      <c r="AF45" s="70"/>
      <c r="AG45" s="70"/>
      <c r="AH45" s="70"/>
      <c r="AI45" s="70"/>
      <c r="AJ45" s="70"/>
      <c r="AK45" s="70"/>
    </row>
    <row r="46" spans="1:37" s="71" customFormat="1" ht="11.25" x14ac:dyDescent="0.2">
      <c r="A46" s="70"/>
      <c r="B46" s="70"/>
      <c r="C46" s="70"/>
      <c r="D46" s="70"/>
      <c r="E46" s="70"/>
      <c r="F46" s="70"/>
      <c r="G46" s="70"/>
      <c r="H46" s="70"/>
      <c r="I46" s="70"/>
      <c r="J46" s="78"/>
      <c r="K46" s="78"/>
      <c r="L46" s="78"/>
      <c r="M46" s="78"/>
      <c r="N46" s="70"/>
      <c r="O46" s="70"/>
      <c r="P46" s="70"/>
      <c r="Q46" s="70"/>
      <c r="R46" s="70"/>
      <c r="S46" s="70"/>
      <c r="T46" s="70"/>
      <c r="U46" s="70"/>
      <c r="V46" s="70"/>
      <c r="W46" s="70"/>
      <c r="X46" s="70"/>
      <c r="Y46" s="70"/>
      <c r="Z46" s="70"/>
      <c r="AA46" s="70"/>
      <c r="AB46" s="70"/>
      <c r="AC46" s="70"/>
      <c r="AD46" s="70"/>
      <c r="AE46" s="70"/>
      <c r="AF46" s="70"/>
      <c r="AG46" s="70"/>
      <c r="AH46" s="70"/>
      <c r="AI46" s="70"/>
      <c r="AJ46" s="70"/>
      <c r="AK46" s="70"/>
    </row>
    <row r="47" spans="1:37" s="71" customFormat="1" ht="11.25" x14ac:dyDescent="0.2">
      <c r="A47" s="70"/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8"/>
      <c r="AA47" s="78"/>
      <c r="AB47" s="78"/>
      <c r="AC47" s="78"/>
      <c r="AD47" s="70"/>
      <c r="AE47" s="70"/>
      <c r="AF47" s="70"/>
      <c r="AG47" s="70"/>
      <c r="AH47" s="70"/>
      <c r="AI47" s="70"/>
      <c r="AJ47" s="70"/>
      <c r="AK47" s="70"/>
    </row>
    <row r="48" spans="1:37" s="71" customFormat="1" ht="11.25" x14ac:dyDescent="0.2">
      <c r="A48" s="70"/>
      <c r="B48" s="70"/>
      <c r="C48" s="70"/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8"/>
      <c r="AA48" s="78"/>
      <c r="AB48" s="78"/>
      <c r="AC48" s="78"/>
      <c r="AD48" s="70"/>
      <c r="AE48" s="70"/>
      <c r="AF48" s="70"/>
      <c r="AG48" s="70"/>
      <c r="AH48" s="70"/>
      <c r="AI48" s="70"/>
      <c r="AJ48" s="70"/>
      <c r="AK48" s="70"/>
    </row>
    <row r="49" spans="1:37" s="71" customFormat="1" ht="11.25" x14ac:dyDescent="0.2">
      <c r="A49" s="70"/>
      <c r="B49" s="70"/>
      <c r="C49" s="70"/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8"/>
      <c r="AA49" s="78"/>
      <c r="AB49" s="78"/>
      <c r="AC49" s="78"/>
      <c r="AD49" s="70"/>
      <c r="AE49" s="70"/>
      <c r="AF49" s="70"/>
      <c r="AG49" s="70"/>
      <c r="AH49" s="70"/>
      <c r="AI49" s="70"/>
      <c r="AJ49" s="70"/>
      <c r="AK49" s="70"/>
    </row>
    <row r="50" spans="1:37" s="71" customFormat="1" ht="11.25" x14ac:dyDescent="0.2">
      <c r="A50" s="70"/>
      <c r="B50" s="70"/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8"/>
      <c r="AA50" s="78"/>
      <c r="AB50" s="78"/>
      <c r="AC50" s="78"/>
      <c r="AD50" s="70"/>
      <c r="AE50" s="70"/>
      <c r="AF50" s="70"/>
      <c r="AG50" s="70"/>
      <c r="AH50" s="70"/>
      <c r="AI50" s="70"/>
      <c r="AJ50" s="70"/>
      <c r="AK50" s="70"/>
    </row>
    <row r="51" spans="1:37" s="71" customFormat="1" ht="11.25" x14ac:dyDescent="0.2">
      <c r="A51" s="70"/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8"/>
      <c r="AA51" s="78"/>
      <c r="AB51" s="78"/>
      <c r="AC51" s="78"/>
      <c r="AD51" s="70"/>
      <c r="AE51" s="70"/>
      <c r="AF51" s="70"/>
      <c r="AG51" s="70"/>
      <c r="AH51" s="70"/>
      <c r="AI51" s="70"/>
      <c r="AJ51" s="70"/>
      <c r="AK51" s="70"/>
    </row>
    <row r="52" spans="1:37" s="71" customFormat="1" ht="11.25" x14ac:dyDescent="0.2">
      <c r="A52" s="70"/>
      <c r="B52" s="70"/>
      <c r="C52" s="70"/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0"/>
      <c r="X52" s="70"/>
      <c r="Y52" s="70"/>
      <c r="Z52" s="78"/>
      <c r="AA52" s="78"/>
      <c r="AB52" s="78"/>
      <c r="AC52" s="78"/>
      <c r="AD52" s="70"/>
      <c r="AE52" s="70"/>
      <c r="AF52" s="70"/>
      <c r="AG52" s="70"/>
      <c r="AH52" s="70"/>
      <c r="AI52" s="70"/>
      <c r="AJ52" s="70"/>
      <c r="AK52" s="70"/>
    </row>
    <row r="53" spans="1:37" s="71" customFormat="1" ht="11.25" x14ac:dyDescent="0.2">
      <c r="A53" s="70"/>
      <c r="B53" s="70"/>
      <c r="C53" s="70"/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8"/>
      <c r="AA53" s="78"/>
      <c r="AB53" s="78"/>
      <c r="AC53" s="78"/>
      <c r="AD53" s="70"/>
      <c r="AE53" s="70"/>
      <c r="AF53" s="70"/>
      <c r="AG53" s="70"/>
      <c r="AH53" s="70"/>
      <c r="AI53" s="70"/>
      <c r="AJ53" s="70"/>
      <c r="AK53" s="70"/>
    </row>
    <row r="54" spans="1:37" s="71" customFormat="1" ht="11.25" x14ac:dyDescent="0.2">
      <c r="A54" s="70"/>
      <c r="B54" s="70"/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8"/>
      <c r="AA54" s="78"/>
      <c r="AB54" s="78"/>
      <c r="AC54" s="78"/>
      <c r="AD54" s="70"/>
      <c r="AE54" s="70"/>
      <c r="AF54" s="70"/>
      <c r="AG54" s="70"/>
      <c r="AH54" s="70"/>
      <c r="AI54" s="70"/>
      <c r="AJ54" s="70"/>
      <c r="AK54" s="70"/>
    </row>
    <row r="55" spans="1:37" s="71" customFormat="1" ht="11.25" x14ac:dyDescent="0.2">
      <c r="A55" s="70"/>
      <c r="B55" s="70"/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8"/>
      <c r="AA55" s="78"/>
      <c r="AB55" s="78"/>
      <c r="AC55" s="78"/>
      <c r="AD55" s="70"/>
      <c r="AE55" s="70"/>
      <c r="AF55" s="70"/>
      <c r="AG55" s="70"/>
      <c r="AH55" s="70"/>
      <c r="AI55" s="70"/>
      <c r="AJ55" s="70"/>
      <c r="AK55" s="70"/>
    </row>
    <row r="56" spans="1:37" s="71" customFormat="1" ht="11.25" x14ac:dyDescent="0.2">
      <c r="A56" s="70"/>
      <c r="B56" s="70"/>
      <c r="C56" s="70"/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70"/>
      <c r="X56" s="70"/>
      <c r="Y56" s="70"/>
      <c r="Z56" s="78"/>
      <c r="AA56" s="78"/>
      <c r="AB56" s="78"/>
      <c r="AC56" s="78"/>
      <c r="AD56" s="70"/>
      <c r="AE56" s="70"/>
      <c r="AF56" s="70"/>
      <c r="AG56" s="70"/>
      <c r="AH56" s="70"/>
      <c r="AI56" s="70"/>
      <c r="AJ56" s="70"/>
      <c r="AK56" s="70"/>
    </row>
    <row r="57" spans="1:37" s="71" customFormat="1" ht="11.25" x14ac:dyDescent="0.2">
      <c r="A57" s="70"/>
      <c r="B57" s="70"/>
      <c r="C57" s="70"/>
      <c r="D57" s="70"/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0"/>
      <c r="Y57" s="70"/>
      <c r="Z57" s="78"/>
      <c r="AA57" s="78"/>
      <c r="AB57" s="78"/>
      <c r="AC57" s="78"/>
      <c r="AD57" s="70"/>
      <c r="AE57" s="70"/>
      <c r="AF57" s="70"/>
      <c r="AG57" s="70"/>
      <c r="AH57" s="70"/>
      <c r="AI57" s="70"/>
      <c r="AJ57" s="70"/>
      <c r="AK57" s="70"/>
    </row>
    <row r="58" spans="1:37" s="71" customFormat="1" ht="11.25" x14ac:dyDescent="0.2">
      <c r="A58" s="70"/>
      <c r="B58" s="70"/>
      <c r="C58" s="70"/>
      <c r="D58" s="70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8"/>
      <c r="AA58" s="78"/>
      <c r="AB58" s="78"/>
      <c r="AC58" s="78"/>
      <c r="AD58" s="70"/>
      <c r="AE58" s="70"/>
      <c r="AF58" s="70"/>
      <c r="AG58" s="70"/>
      <c r="AH58" s="70"/>
      <c r="AI58" s="70"/>
      <c r="AJ58" s="70"/>
      <c r="AK58" s="70"/>
    </row>
    <row r="59" spans="1:37" s="71" customFormat="1" ht="11.25" x14ac:dyDescent="0.2">
      <c r="A59" s="70"/>
      <c r="B59" s="70"/>
      <c r="C59" s="70"/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70"/>
      <c r="Y59" s="70"/>
      <c r="Z59" s="78"/>
      <c r="AA59" s="78"/>
      <c r="AB59" s="78"/>
      <c r="AC59" s="78"/>
      <c r="AD59" s="70"/>
      <c r="AE59" s="70"/>
      <c r="AF59" s="70"/>
      <c r="AG59" s="70"/>
      <c r="AH59" s="70"/>
      <c r="AI59" s="70"/>
      <c r="AJ59" s="70"/>
      <c r="AK59" s="70"/>
    </row>
    <row r="60" spans="1:37" s="71" customFormat="1" ht="11.25" x14ac:dyDescent="0.2">
      <c r="A60" s="70"/>
      <c r="B60" s="70"/>
      <c r="C60" s="70"/>
      <c r="D60" s="70"/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8"/>
      <c r="AA60" s="78"/>
      <c r="AB60" s="78"/>
      <c r="AC60" s="78"/>
      <c r="AD60" s="70"/>
      <c r="AE60" s="70"/>
      <c r="AF60" s="70"/>
      <c r="AG60" s="70"/>
      <c r="AH60" s="70"/>
      <c r="AI60" s="70"/>
      <c r="AJ60" s="70"/>
      <c r="AK60" s="70"/>
    </row>
    <row r="61" spans="1:37" s="71" customFormat="1" ht="11.25" x14ac:dyDescent="0.2">
      <c r="A61" s="70"/>
      <c r="B61" s="70"/>
      <c r="C61" s="70"/>
      <c r="D61" s="70"/>
      <c r="E61" s="70"/>
      <c r="F61" s="70"/>
      <c r="G61" s="70"/>
      <c r="H61" s="70"/>
      <c r="I61" s="70"/>
      <c r="J61" s="70"/>
      <c r="K61" s="70"/>
      <c r="L61" s="70"/>
      <c r="M61" s="70"/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0"/>
      <c r="Z61" s="78"/>
      <c r="AA61" s="78"/>
      <c r="AB61" s="78"/>
      <c r="AC61" s="78"/>
      <c r="AD61" s="70"/>
      <c r="AE61" s="70"/>
      <c r="AF61" s="70"/>
      <c r="AG61" s="70"/>
      <c r="AH61" s="70"/>
      <c r="AI61" s="70"/>
      <c r="AJ61" s="70"/>
      <c r="AK61" s="70"/>
    </row>
    <row r="62" spans="1:37" s="71" customFormat="1" ht="11.25" x14ac:dyDescent="0.2">
      <c r="A62" s="70"/>
      <c r="B62" s="70"/>
      <c r="C62" s="70"/>
      <c r="D62" s="70"/>
      <c r="E62" s="70"/>
      <c r="F62" s="70"/>
      <c r="G62" s="70"/>
      <c r="H62" s="70"/>
      <c r="I62" s="70"/>
      <c r="J62" s="70"/>
      <c r="K62" s="70"/>
      <c r="L62" s="70"/>
      <c r="M62" s="70"/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0"/>
      <c r="Z62" s="78"/>
      <c r="AA62" s="78"/>
      <c r="AB62" s="78"/>
      <c r="AC62" s="78"/>
      <c r="AD62" s="70"/>
      <c r="AE62" s="70"/>
      <c r="AF62" s="70"/>
      <c r="AG62" s="70"/>
      <c r="AH62" s="70"/>
      <c r="AI62" s="70"/>
      <c r="AJ62" s="70"/>
      <c r="AK62" s="70"/>
    </row>
    <row r="63" spans="1:37" s="71" customFormat="1" ht="11.25" x14ac:dyDescent="0.2">
      <c r="A63" s="70"/>
      <c r="B63" s="70"/>
      <c r="C63" s="70"/>
      <c r="D63" s="70"/>
      <c r="E63" s="70"/>
      <c r="F63" s="70"/>
      <c r="G63" s="70"/>
      <c r="H63" s="70"/>
      <c r="I63" s="70"/>
      <c r="J63" s="70"/>
      <c r="K63" s="70"/>
      <c r="L63" s="70"/>
      <c r="M63" s="70"/>
      <c r="N63" s="70"/>
      <c r="O63" s="70"/>
      <c r="P63" s="70"/>
      <c r="Q63" s="70"/>
      <c r="R63" s="70"/>
      <c r="S63" s="70"/>
      <c r="T63" s="70"/>
      <c r="U63" s="70"/>
      <c r="V63" s="70"/>
      <c r="W63" s="70"/>
      <c r="X63" s="70"/>
      <c r="Y63" s="70"/>
      <c r="Z63" s="78"/>
      <c r="AA63" s="78"/>
      <c r="AB63" s="78"/>
      <c r="AC63" s="78"/>
      <c r="AD63" s="70"/>
      <c r="AE63" s="70"/>
      <c r="AF63" s="70"/>
      <c r="AG63" s="70"/>
      <c r="AH63" s="70"/>
      <c r="AI63" s="70"/>
      <c r="AJ63" s="70"/>
      <c r="AK63" s="70"/>
    </row>
    <row r="64" spans="1:37" s="71" customFormat="1" ht="11.25" x14ac:dyDescent="0.2">
      <c r="A64" s="70"/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0"/>
      <c r="Z64" s="78"/>
      <c r="AA64" s="78"/>
      <c r="AB64" s="78"/>
      <c r="AC64" s="78"/>
      <c r="AD64" s="70"/>
      <c r="AE64" s="70"/>
      <c r="AF64" s="70"/>
      <c r="AG64" s="70"/>
      <c r="AH64" s="70"/>
      <c r="AI64" s="70"/>
      <c r="AJ64" s="70"/>
      <c r="AK64" s="70"/>
    </row>
    <row r="65" spans="1:37" s="71" customFormat="1" ht="11.25" x14ac:dyDescent="0.2">
      <c r="A65" s="70"/>
      <c r="B65" s="70"/>
      <c r="C65" s="70"/>
      <c r="D65" s="70"/>
      <c r="E65" s="70"/>
      <c r="F65" s="70"/>
      <c r="G65" s="70"/>
      <c r="H65" s="70"/>
      <c r="I65" s="70"/>
      <c r="J65" s="70"/>
      <c r="K65" s="70"/>
      <c r="L65" s="70"/>
      <c r="M65" s="70"/>
      <c r="N65" s="70"/>
      <c r="O65" s="70"/>
      <c r="P65" s="70"/>
      <c r="Q65" s="70"/>
      <c r="R65" s="70"/>
      <c r="S65" s="70"/>
      <c r="T65" s="70"/>
      <c r="U65" s="70"/>
      <c r="V65" s="70"/>
      <c r="W65" s="70"/>
      <c r="X65" s="70"/>
      <c r="Y65" s="70"/>
      <c r="Z65" s="78"/>
      <c r="AA65" s="78"/>
      <c r="AB65" s="78"/>
      <c r="AC65" s="78"/>
      <c r="AD65" s="70"/>
      <c r="AE65" s="70"/>
      <c r="AF65" s="70"/>
      <c r="AG65" s="70"/>
      <c r="AH65" s="70"/>
      <c r="AI65" s="70"/>
      <c r="AJ65" s="70"/>
      <c r="AK65" s="70"/>
    </row>
    <row r="66" spans="1:37" s="71" customFormat="1" ht="11.25" x14ac:dyDescent="0.2">
      <c r="A66" s="70"/>
      <c r="B66" s="70"/>
      <c r="C66" s="70"/>
      <c r="D66" s="70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0"/>
      <c r="Z66" s="78"/>
      <c r="AA66" s="78"/>
      <c r="AB66" s="78"/>
      <c r="AC66" s="78"/>
      <c r="AD66" s="70"/>
      <c r="AE66" s="70"/>
      <c r="AF66" s="70"/>
      <c r="AG66" s="70"/>
      <c r="AH66" s="70"/>
      <c r="AI66" s="70"/>
      <c r="AJ66" s="70"/>
      <c r="AK66" s="70"/>
    </row>
    <row r="67" spans="1:37" s="71" customFormat="1" ht="11.25" x14ac:dyDescent="0.2">
      <c r="A67" s="70"/>
      <c r="B67" s="70"/>
      <c r="C67" s="70"/>
      <c r="D67" s="70"/>
      <c r="E67" s="70"/>
      <c r="F67" s="70"/>
      <c r="G67" s="70"/>
      <c r="H67" s="70"/>
      <c r="I67" s="70"/>
      <c r="J67" s="70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70"/>
      <c r="Z67" s="78"/>
      <c r="AA67" s="78"/>
      <c r="AB67" s="78"/>
      <c r="AC67" s="78"/>
      <c r="AD67" s="70"/>
      <c r="AE67" s="70"/>
      <c r="AF67" s="70"/>
      <c r="AG67" s="70"/>
      <c r="AH67" s="70"/>
      <c r="AI67" s="70"/>
      <c r="AJ67" s="70"/>
      <c r="AK67" s="70"/>
    </row>
    <row r="68" spans="1:37" s="71" customFormat="1" ht="11.25" x14ac:dyDescent="0.2">
      <c r="A68" s="70"/>
      <c r="B68" s="70"/>
      <c r="C68" s="70"/>
      <c r="D68" s="70"/>
      <c r="E68" s="70"/>
      <c r="F68" s="70"/>
      <c r="G68" s="70"/>
      <c r="H68" s="70"/>
      <c r="I68" s="70"/>
      <c r="J68" s="70"/>
      <c r="K68" s="70"/>
      <c r="L68" s="70"/>
      <c r="M68" s="70"/>
      <c r="N68" s="70"/>
      <c r="O68" s="70"/>
      <c r="P68" s="70"/>
      <c r="Q68" s="70"/>
      <c r="R68" s="70"/>
      <c r="S68" s="70"/>
      <c r="T68" s="70"/>
      <c r="U68" s="70"/>
      <c r="V68" s="70"/>
      <c r="W68" s="70"/>
      <c r="X68" s="70"/>
      <c r="Y68" s="70"/>
      <c r="Z68" s="78"/>
      <c r="AA68" s="78"/>
      <c r="AB68" s="78"/>
      <c r="AC68" s="78"/>
      <c r="AD68" s="70"/>
      <c r="AE68" s="70"/>
      <c r="AF68" s="70"/>
      <c r="AG68" s="70"/>
      <c r="AH68" s="70"/>
      <c r="AI68" s="70"/>
      <c r="AJ68" s="70"/>
      <c r="AK68" s="70"/>
    </row>
    <row r="69" spans="1:37" s="71" customFormat="1" ht="11.25" x14ac:dyDescent="0.2">
      <c r="A69" s="70"/>
      <c r="B69" s="70"/>
      <c r="C69" s="70"/>
      <c r="D69" s="70"/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70"/>
      <c r="T69" s="70"/>
      <c r="U69" s="70"/>
      <c r="V69" s="70"/>
      <c r="W69" s="70"/>
      <c r="X69" s="70"/>
      <c r="Y69" s="70"/>
      <c r="Z69" s="78"/>
      <c r="AA69" s="78"/>
      <c r="AB69" s="78"/>
      <c r="AC69" s="78"/>
      <c r="AD69" s="70"/>
      <c r="AE69" s="70"/>
      <c r="AF69" s="70"/>
      <c r="AG69" s="70"/>
      <c r="AH69" s="70"/>
      <c r="AI69" s="70"/>
      <c r="AJ69" s="70"/>
      <c r="AK69" s="70"/>
    </row>
    <row r="70" spans="1:37" s="71" customFormat="1" ht="11.25" x14ac:dyDescent="0.2">
      <c r="A70" s="70"/>
      <c r="B70" s="70"/>
      <c r="C70" s="70"/>
      <c r="D70" s="70"/>
      <c r="E70" s="70"/>
      <c r="F70" s="70"/>
      <c r="G70" s="70"/>
      <c r="H70" s="70"/>
      <c r="I70" s="70"/>
      <c r="J70" s="70"/>
      <c r="K70" s="70"/>
      <c r="L70" s="70"/>
      <c r="M70" s="70"/>
      <c r="N70" s="70"/>
      <c r="O70" s="70"/>
      <c r="P70" s="70"/>
      <c r="Q70" s="70"/>
      <c r="R70" s="70"/>
      <c r="S70" s="70"/>
      <c r="T70" s="70"/>
      <c r="U70" s="70"/>
      <c r="V70" s="70"/>
      <c r="W70" s="70"/>
      <c r="X70" s="70"/>
      <c r="Y70" s="70"/>
      <c r="Z70" s="78"/>
      <c r="AA70" s="78"/>
      <c r="AB70" s="78"/>
      <c r="AC70" s="78"/>
      <c r="AD70" s="70"/>
      <c r="AE70" s="70"/>
      <c r="AF70" s="70"/>
      <c r="AG70" s="70"/>
      <c r="AH70" s="70"/>
      <c r="AI70" s="70"/>
      <c r="AJ70" s="70"/>
      <c r="AK70" s="70"/>
    </row>
  </sheetData>
  <customSheetViews>
    <customSheetView guid="{B7440494-8EA9-4463-9947-E5D20E74049D}" showGridLines="0">
      <pane xSplit="1" ySplit="9" topLeftCell="AE10" activePane="bottomRight" state="frozen"/>
      <selection pane="bottomRight" activeCell="AO15" sqref="AO15"/>
      <colBreaks count="4" manualBreakCount="4">
        <brk id="9" min="1" max="17" man="1"/>
        <brk id="17" min="1" max="17" man="1"/>
        <brk id="25" min="1" max="17" man="1"/>
        <brk id="33" min="1" max="17" man="1"/>
      </colBreaks>
      <pageMargins left="0" right="0" top="0.78740157480314965" bottom="0" header="0" footer="0"/>
      <printOptions horizontalCentered="1"/>
      <pageSetup paperSize="9" orientation="landscape" horizontalDpi="4294967294" verticalDpi="4294967294" r:id="rId1"/>
      <headerFooter alignWithMargins="0">
        <oddHeader>&amp;R&amp;P/&amp;N</oddHeader>
      </headerFooter>
    </customSheetView>
    <customSheetView guid="{6D89F6EF-F5AD-478F-979A-5AF1BC78EF91}" showGridLines="0">
      <pane xSplit="2" ySplit="9" topLeftCell="C10" activePane="bottomRight" state="frozen"/>
      <selection pane="bottomRight" activeCell="C10" sqref="C10"/>
      <colBreaks count="2" manualBreakCount="2">
        <brk id="25" max="18" man="1"/>
        <brk id="41" max="18" man="1"/>
      </colBreaks>
      <pageMargins left="0" right="0" top="1.1811023622047245" bottom="0" header="0" footer="0"/>
      <printOptions horizontalCentered="1"/>
      <pageSetup paperSize="9" orientation="landscape" r:id="rId2"/>
      <headerFooter alignWithMargins="0"/>
    </customSheetView>
    <customSheetView guid="{A9134056-6B1C-4A42-AFE9-9712EF3EF3D4}" showPageBreaks="1" showGridLines="0" printArea="1">
      <pane xSplit="2" ySplit="9" topLeftCell="C10" activePane="bottomRight" state="frozen"/>
      <selection pane="bottomRight" activeCell="C10" sqref="C10"/>
      <colBreaks count="3" manualBreakCount="3">
        <brk id="13" min="1" max="19" man="1"/>
        <brk id="25" max="18" man="1"/>
        <brk id="41" max="18" man="1"/>
      </colBreaks>
      <pageMargins left="0" right="0" top="1.1811023622047245" bottom="0" header="0" footer="0"/>
      <printOptions horizontalCentered="1"/>
      <pageSetup paperSize="9" orientation="landscape" r:id="rId3"/>
      <headerFooter alignWithMargins="0"/>
    </customSheetView>
  </customSheetViews>
  <hyperlinks>
    <hyperlink ref="AS6" location="Índex!E9" display="Índex"/>
  </hyperlinks>
  <printOptions horizontalCentered="1"/>
  <pageMargins left="0" right="0" top="0.39370078740157483" bottom="0" header="0" footer="0"/>
  <pageSetup paperSize="9" scale="110" orientation="landscape" r:id="rId4"/>
  <headerFooter alignWithMargins="0">
    <oddHeader>&amp;R&amp;P/&amp;N</oddHeader>
  </headerFooter>
  <colBreaks count="5" manualBreakCount="5">
    <brk id="9" max="1048575" man="1"/>
    <brk id="17" max="1048575" man="1"/>
    <brk id="25" max="1048575" man="1"/>
    <brk id="33" max="1048575" man="1"/>
    <brk id="41" max="14" man="1"/>
  </colBreaks>
  <drawing r:id="rId5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5">
    <pageSetUpPr fitToPage="1"/>
  </sheetPr>
  <dimension ref="A1:DQ123"/>
  <sheetViews>
    <sheetView showGridLines="0" zoomScaleNormal="100" workbookViewId="0">
      <pane xSplit="1" ySplit="8" topLeftCell="AF9" activePane="bottomRight" state="frozen"/>
      <selection activeCell="E9" sqref="E9"/>
      <selection pane="topRight" activeCell="E9" sqref="E9"/>
      <selection pane="bottomLeft" activeCell="E9" sqref="E9"/>
      <selection pane="bottomRight" activeCell="E9" sqref="E9"/>
    </sheetView>
  </sheetViews>
  <sheetFormatPr defaultColWidth="8.7109375" defaultRowHeight="15" customHeight="1" x14ac:dyDescent="0.2"/>
  <cols>
    <col min="1" max="1" width="39.85546875" style="1" bestFit="1" customWidth="1"/>
    <col min="2" max="25" width="9.7109375" style="1" customWidth="1"/>
    <col min="26" max="29" width="9.7109375" style="8" customWidth="1"/>
    <col min="30" max="45" width="9.7109375" style="1" customWidth="1"/>
    <col min="46" max="16384" width="8.7109375" style="1"/>
  </cols>
  <sheetData>
    <row r="1" spans="1:93" s="25" customFormat="1" ht="15" customHeight="1" x14ac:dyDescent="0.2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2"/>
      <c r="AW1" s="62"/>
      <c r="AX1" s="62"/>
      <c r="AY1" s="62"/>
      <c r="AZ1" s="62"/>
      <c r="BA1" s="62"/>
      <c r="BB1" s="62"/>
      <c r="BC1" s="62"/>
      <c r="BD1" s="62"/>
      <c r="BE1" s="62"/>
      <c r="BF1" s="62"/>
      <c r="BG1" s="62"/>
      <c r="BH1" s="62"/>
      <c r="BI1" s="62"/>
      <c r="BJ1" s="56"/>
      <c r="BK1" s="56"/>
      <c r="BL1" s="56"/>
      <c r="BM1" s="56"/>
      <c r="BN1" s="56"/>
      <c r="BO1" s="56"/>
      <c r="BP1" s="56"/>
      <c r="BQ1" s="56"/>
      <c r="BR1" s="56"/>
      <c r="BS1" s="56"/>
      <c r="BT1" s="56"/>
      <c r="BU1" s="56"/>
    </row>
    <row r="2" spans="1:93" s="25" customFormat="1" ht="15" customHeight="1" x14ac:dyDescent="0.25">
      <c r="A2" s="56"/>
      <c r="B2" s="199"/>
      <c r="C2" s="56"/>
      <c r="D2" s="56"/>
      <c r="E2" s="216"/>
      <c r="F2" s="216"/>
      <c r="G2" s="216"/>
      <c r="H2" s="56"/>
      <c r="I2" s="56"/>
      <c r="J2" s="56"/>
      <c r="K2" s="21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  <c r="BM2" s="56"/>
      <c r="BN2" s="56"/>
      <c r="BO2" s="56"/>
      <c r="BP2" s="56"/>
      <c r="BQ2" s="56"/>
      <c r="BR2" s="56"/>
      <c r="BS2" s="56"/>
      <c r="BT2" s="56"/>
      <c r="BU2" s="56"/>
    </row>
    <row r="3" spans="1:93" s="25" customFormat="1" ht="15" customHeight="1" x14ac:dyDescent="0.25">
      <c r="A3" s="57"/>
      <c r="B3" s="57"/>
      <c r="C3" s="61"/>
      <c r="D3" s="57"/>
      <c r="E3" s="217"/>
      <c r="F3" s="217"/>
      <c r="G3" s="217"/>
      <c r="H3" s="57"/>
      <c r="I3" s="57"/>
      <c r="J3" s="57"/>
      <c r="K3" s="21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7"/>
      <c r="BT3" s="57"/>
      <c r="BU3" s="57"/>
    </row>
    <row r="4" spans="1:93" s="25" customFormat="1" ht="15" customHeight="1" x14ac:dyDescent="0.2">
      <c r="A4" s="58"/>
      <c r="B4" s="58"/>
      <c r="C4" s="58"/>
      <c r="D4" s="58"/>
      <c r="E4" s="218"/>
      <c r="F4" s="218"/>
      <c r="G4" s="218"/>
      <c r="H4" s="58"/>
      <c r="I4" s="58"/>
      <c r="J4" s="58"/>
      <c r="K4" s="21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  <c r="CG4" s="198"/>
      <c r="CH4" s="198"/>
      <c r="CI4" s="198"/>
      <c r="CJ4" s="198"/>
      <c r="CK4" s="198"/>
      <c r="CL4" s="198"/>
      <c r="CM4" s="198"/>
      <c r="CN4" s="198"/>
      <c r="CO4" s="198"/>
    </row>
    <row r="5" spans="1:93" s="25" customFormat="1" ht="19.5" thickBot="1" x14ac:dyDescent="0.35">
      <c r="A5" s="190" t="s">
        <v>650</v>
      </c>
      <c r="B5" s="61"/>
      <c r="C5" s="59"/>
      <c r="D5" s="61"/>
      <c r="E5" s="59"/>
      <c r="F5" s="114"/>
      <c r="G5" s="59"/>
      <c r="H5" s="112"/>
      <c r="I5" s="59"/>
      <c r="J5" s="59"/>
      <c r="K5" s="59"/>
      <c r="L5" s="59"/>
      <c r="M5" s="59"/>
      <c r="N5" s="59"/>
      <c r="O5" s="59"/>
      <c r="P5" s="59"/>
      <c r="Q5" s="59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59"/>
      <c r="BR5" s="59"/>
      <c r="BS5" s="59"/>
      <c r="BT5" s="59"/>
      <c r="BU5" s="59"/>
      <c r="BW5" s="114"/>
      <c r="CA5" s="114"/>
      <c r="CC5" s="134"/>
      <c r="CF5" s="65"/>
      <c r="CG5" s="194"/>
      <c r="CH5" s="194"/>
      <c r="CI5" s="194"/>
      <c r="CJ5" s="225"/>
      <c r="CK5" s="194"/>
      <c r="CL5" s="194"/>
      <c r="CM5" s="194"/>
      <c r="CN5" s="194"/>
      <c r="CO5" s="198"/>
    </row>
    <row r="6" spans="1:93" s="236" customFormat="1" ht="15" customHeight="1" thickTop="1" x14ac:dyDescent="0.2">
      <c r="A6" s="234"/>
      <c r="B6" s="234"/>
      <c r="C6" s="235"/>
      <c r="D6" s="235"/>
      <c r="E6" s="235"/>
      <c r="AL6" s="133"/>
      <c r="AN6" s="133"/>
      <c r="AO6" s="133"/>
      <c r="AP6" s="400"/>
      <c r="AQ6" s="400"/>
      <c r="AR6" s="400"/>
      <c r="AS6" s="400" t="s">
        <v>662</v>
      </c>
    </row>
    <row r="7" spans="1:93" s="183" customFormat="1" ht="15" customHeight="1" x14ac:dyDescent="0.2">
      <c r="A7" s="182"/>
      <c r="B7" s="195" t="s">
        <v>401</v>
      </c>
      <c r="C7" s="195" t="s">
        <v>402</v>
      </c>
      <c r="D7" s="195" t="s">
        <v>403</v>
      </c>
      <c r="E7" s="195" t="s">
        <v>404</v>
      </c>
      <c r="F7" s="195" t="s">
        <v>405</v>
      </c>
      <c r="G7" s="195" t="s">
        <v>406</v>
      </c>
      <c r="H7" s="195" t="s">
        <v>407</v>
      </c>
      <c r="I7" s="195" t="s">
        <v>408</v>
      </c>
      <c r="J7" s="195" t="s">
        <v>409</v>
      </c>
      <c r="K7" s="195" t="s">
        <v>410</v>
      </c>
      <c r="L7" s="195" t="s">
        <v>411</v>
      </c>
      <c r="M7" s="195" t="s">
        <v>412</v>
      </c>
      <c r="N7" s="195" t="s">
        <v>413</v>
      </c>
      <c r="O7" s="195" t="s">
        <v>414</v>
      </c>
      <c r="P7" s="195" t="s">
        <v>415</v>
      </c>
      <c r="Q7" s="195" t="s">
        <v>416</v>
      </c>
      <c r="R7" s="195" t="s">
        <v>417</v>
      </c>
      <c r="S7" s="195" t="s">
        <v>418</v>
      </c>
      <c r="T7" s="195" t="s">
        <v>419</v>
      </c>
      <c r="U7" s="195" t="s">
        <v>420</v>
      </c>
      <c r="V7" s="195" t="s">
        <v>421</v>
      </c>
      <c r="W7" s="195" t="s">
        <v>422</v>
      </c>
      <c r="X7" s="195" t="s">
        <v>423</v>
      </c>
      <c r="Y7" s="195" t="s">
        <v>424</v>
      </c>
      <c r="Z7" s="195" t="s">
        <v>425</v>
      </c>
      <c r="AA7" s="195" t="s">
        <v>426</v>
      </c>
      <c r="AB7" s="195" t="s">
        <v>427</v>
      </c>
      <c r="AC7" s="195" t="s">
        <v>428</v>
      </c>
      <c r="AD7" s="195" t="s">
        <v>429</v>
      </c>
      <c r="AE7" s="195" t="s">
        <v>430</v>
      </c>
      <c r="AF7" s="195" t="s">
        <v>431</v>
      </c>
      <c r="AG7" s="195" t="s">
        <v>432</v>
      </c>
      <c r="AH7" s="195" t="s">
        <v>433</v>
      </c>
      <c r="AI7" s="195" t="s">
        <v>434</v>
      </c>
      <c r="AJ7" s="195" t="s">
        <v>543</v>
      </c>
      <c r="AK7" s="195" t="s">
        <v>435</v>
      </c>
      <c r="AL7" s="195" t="s">
        <v>436</v>
      </c>
      <c r="AM7" s="195" t="s">
        <v>437</v>
      </c>
      <c r="AN7" s="195" t="s">
        <v>438</v>
      </c>
      <c r="AO7" s="410" t="s">
        <v>450</v>
      </c>
      <c r="AP7" s="410" t="s">
        <v>451</v>
      </c>
      <c r="AQ7" s="591" t="s">
        <v>452</v>
      </c>
      <c r="AR7" s="591" t="s">
        <v>453</v>
      </c>
      <c r="AS7" s="664" t="s">
        <v>454</v>
      </c>
      <c r="CC7" s="243"/>
    </row>
    <row r="8" spans="1:93" s="178" customFormat="1" ht="9.9499999999999993" customHeight="1" x14ac:dyDescent="0.2">
      <c r="A8" s="233"/>
      <c r="B8" s="233"/>
      <c r="C8" s="233"/>
      <c r="D8" s="233"/>
      <c r="E8" s="233"/>
      <c r="F8" s="233"/>
      <c r="G8" s="233"/>
      <c r="H8" s="233"/>
      <c r="I8" s="233"/>
      <c r="J8" s="233"/>
      <c r="K8" s="233"/>
      <c r="L8" s="233"/>
      <c r="M8" s="233"/>
      <c r="N8" s="233"/>
      <c r="O8" s="233"/>
      <c r="P8" s="233"/>
      <c r="Q8" s="233"/>
      <c r="R8" s="233"/>
      <c r="S8" s="233"/>
      <c r="T8" s="233"/>
      <c r="U8" s="233"/>
      <c r="V8" s="233"/>
      <c r="W8" s="233"/>
      <c r="X8" s="233"/>
      <c r="Y8" s="233"/>
      <c r="Z8" s="233"/>
      <c r="AA8" s="233"/>
      <c r="AB8" s="233"/>
      <c r="AC8" s="233"/>
      <c r="AD8" s="233"/>
      <c r="AE8" s="233"/>
      <c r="AF8" s="233"/>
      <c r="AG8" s="233"/>
      <c r="AH8" s="233"/>
      <c r="AI8" s="233"/>
      <c r="AJ8" s="233"/>
      <c r="AK8" s="233"/>
      <c r="AL8" s="233"/>
      <c r="AM8" s="233"/>
      <c r="AN8" s="233"/>
      <c r="AO8" s="233"/>
      <c r="AP8" s="233"/>
      <c r="AQ8" s="233"/>
      <c r="AR8" s="233"/>
      <c r="AS8" s="233"/>
      <c r="AT8" s="191"/>
      <c r="AU8" s="191"/>
      <c r="AV8" s="191"/>
      <c r="AW8" s="191"/>
      <c r="AX8" s="191"/>
      <c r="AY8" s="191"/>
      <c r="AZ8" s="191"/>
      <c r="BA8" s="191"/>
      <c r="BB8" s="191"/>
      <c r="BC8" s="191"/>
      <c r="BD8" s="191"/>
      <c r="BE8" s="191"/>
      <c r="BF8" s="191"/>
      <c r="BG8" s="191"/>
      <c r="BH8" s="191"/>
      <c r="BI8" s="191"/>
      <c r="BJ8" s="191"/>
      <c r="BK8" s="191"/>
      <c r="BL8" s="191"/>
      <c r="BM8" s="191"/>
      <c r="BN8" s="191"/>
      <c r="BO8" s="191"/>
      <c r="BP8" s="191"/>
      <c r="BQ8" s="191"/>
      <c r="BR8" s="191"/>
      <c r="BS8" s="191"/>
      <c r="BT8" s="191"/>
      <c r="BU8" s="191"/>
      <c r="BV8" s="191"/>
      <c r="BW8" s="191"/>
      <c r="BX8" s="191"/>
      <c r="BY8" s="191"/>
      <c r="BZ8" s="191"/>
      <c r="CA8" s="191"/>
      <c r="CB8" s="191"/>
      <c r="CC8" s="191"/>
      <c r="CD8" s="191"/>
    </row>
    <row r="9" spans="1:93" s="178" customFormat="1" ht="5.0999999999999996" customHeight="1" x14ac:dyDescent="0.2">
      <c r="A9" s="248"/>
      <c r="B9" s="203"/>
      <c r="C9" s="203"/>
      <c r="D9" s="203"/>
      <c r="E9" s="203"/>
      <c r="F9" s="203"/>
      <c r="G9" s="203"/>
      <c r="H9" s="203"/>
      <c r="I9" s="203"/>
      <c r="J9" s="203"/>
      <c r="K9" s="203"/>
      <c r="L9" s="203"/>
      <c r="M9" s="203"/>
      <c r="N9" s="203"/>
      <c r="O9" s="203"/>
      <c r="P9" s="203"/>
      <c r="Q9" s="203"/>
      <c r="R9" s="203"/>
      <c r="S9" s="203"/>
      <c r="T9" s="203"/>
      <c r="U9" s="203"/>
      <c r="V9" s="203"/>
      <c r="W9" s="203"/>
      <c r="X9" s="203"/>
      <c r="Y9" s="203"/>
      <c r="Z9" s="203"/>
      <c r="AA9" s="203"/>
      <c r="AB9" s="203"/>
      <c r="AC9" s="203"/>
      <c r="AD9" s="203"/>
      <c r="AE9" s="203"/>
      <c r="AF9" s="203"/>
      <c r="AG9" s="203"/>
      <c r="AH9" s="203"/>
      <c r="AI9" s="203"/>
      <c r="AJ9" s="203"/>
      <c r="AK9" s="203"/>
      <c r="AL9" s="203"/>
      <c r="AM9" s="203"/>
      <c r="AN9" s="203"/>
      <c r="AO9" s="203"/>
      <c r="AP9" s="203"/>
      <c r="AQ9" s="203"/>
      <c r="AR9" s="203"/>
      <c r="AS9" s="203"/>
      <c r="AT9" s="203"/>
      <c r="AU9" s="203"/>
      <c r="AV9" s="203"/>
      <c r="AW9" s="203"/>
      <c r="AX9" s="203"/>
      <c r="AY9" s="203"/>
      <c r="AZ9" s="203"/>
      <c r="BA9" s="203"/>
      <c r="BB9" s="203"/>
      <c r="BC9" s="203"/>
      <c r="BD9" s="203"/>
      <c r="BE9" s="203"/>
      <c r="BF9" s="203"/>
      <c r="BG9" s="203"/>
      <c r="BH9" s="203"/>
      <c r="BI9" s="203"/>
      <c r="BJ9" s="203"/>
      <c r="BK9" s="203"/>
      <c r="BL9" s="203"/>
      <c r="BM9" s="203"/>
      <c r="BN9" s="203"/>
      <c r="BO9" s="203"/>
      <c r="BP9" s="203"/>
      <c r="BQ9" s="203"/>
      <c r="BR9" s="203"/>
      <c r="BS9" s="203"/>
      <c r="BT9" s="203"/>
      <c r="BU9" s="203"/>
      <c r="BV9" s="203"/>
      <c r="BW9" s="203"/>
      <c r="BX9" s="203"/>
      <c r="BY9" s="203"/>
      <c r="BZ9" s="203"/>
      <c r="CA9" s="203"/>
      <c r="CB9" s="203"/>
      <c r="CC9" s="203"/>
      <c r="CD9" s="203"/>
    </row>
    <row r="10" spans="1:93" s="228" customFormat="1" ht="15" customHeight="1" x14ac:dyDescent="0.2">
      <c r="A10" s="226" t="s">
        <v>121</v>
      </c>
      <c r="B10" s="253">
        <v>3541</v>
      </c>
      <c r="C10" s="253">
        <v>3707</v>
      </c>
      <c r="D10" s="253">
        <v>3907</v>
      </c>
      <c r="E10" s="253">
        <v>4073</v>
      </c>
      <c r="F10" s="253">
        <v>4366</v>
      </c>
      <c r="G10" s="253">
        <v>4560</v>
      </c>
      <c r="H10" s="253">
        <v>4791</v>
      </c>
      <c r="I10" s="253">
        <v>5062</v>
      </c>
      <c r="J10" s="254">
        <v>5265</v>
      </c>
      <c r="K10" s="254">
        <v>5552</v>
      </c>
      <c r="L10" s="254">
        <v>5700</v>
      </c>
      <c r="M10" s="254">
        <v>5914</v>
      </c>
      <c r="N10" s="254">
        <v>6160</v>
      </c>
      <c r="O10" s="254">
        <v>6367</v>
      </c>
      <c r="P10" s="254">
        <v>6612</v>
      </c>
      <c r="Q10" s="254">
        <v>6991</v>
      </c>
      <c r="R10" s="254">
        <v>7117</v>
      </c>
      <c r="S10" s="254">
        <v>7608</v>
      </c>
      <c r="T10" s="254">
        <v>8105</v>
      </c>
      <c r="U10" s="254">
        <v>8254</v>
      </c>
      <c r="V10" s="254">
        <v>8277</v>
      </c>
      <c r="W10" s="254">
        <v>8331</v>
      </c>
      <c r="X10" s="254">
        <v>8407</v>
      </c>
      <c r="Y10" s="254">
        <v>8451</v>
      </c>
      <c r="Z10" s="254">
        <v>8290</v>
      </c>
      <c r="AA10" s="254">
        <v>8673</v>
      </c>
      <c r="AB10" s="254">
        <v>8989</v>
      </c>
      <c r="AC10" s="254">
        <v>9175</v>
      </c>
      <c r="AD10" s="254">
        <v>9048</v>
      </c>
      <c r="AE10" s="254">
        <v>9460</v>
      </c>
      <c r="AF10" s="254">
        <v>9798</v>
      </c>
      <c r="AG10" s="254">
        <v>10061</v>
      </c>
      <c r="AH10" s="254">
        <v>10242</v>
      </c>
      <c r="AI10" s="254">
        <v>10427</v>
      </c>
      <c r="AJ10" s="254">
        <v>10806</v>
      </c>
      <c r="AK10" s="254">
        <v>11312</v>
      </c>
      <c r="AL10" s="254">
        <v>11486</v>
      </c>
      <c r="AM10" s="254">
        <v>11408</v>
      </c>
      <c r="AN10" s="254">
        <v>13600</v>
      </c>
      <c r="AO10" s="254">
        <v>13404</v>
      </c>
      <c r="AP10" s="254">
        <v>12567</v>
      </c>
      <c r="AQ10" s="254">
        <v>12315</v>
      </c>
      <c r="AR10" s="254">
        <v>11923</v>
      </c>
      <c r="AS10" s="259">
        <v>11943</v>
      </c>
    </row>
    <row r="11" spans="1:93" s="228" customFormat="1" ht="15" customHeight="1" x14ac:dyDescent="0.2">
      <c r="A11" s="226" t="s">
        <v>122</v>
      </c>
      <c r="B11" s="253">
        <v>589</v>
      </c>
      <c r="C11" s="253">
        <v>656</v>
      </c>
      <c r="D11" s="253">
        <v>539</v>
      </c>
      <c r="E11" s="253">
        <v>550</v>
      </c>
      <c r="F11" s="253">
        <v>611</v>
      </c>
      <c r="G11" s="253">
        <v>598</v>
      </c>
      <c r="H11" s="253">
        <v>538</v>
      </c>
      <c r="I11" s="253">
        <v>542</v>
      </c>
      <c r="J11" s="254">
        <v>578</v>
      </c>
      <c r="K11" s="254">
        <v>607</v>
      </c>
      <c r="L11" s="254">
        <v>571</v>
      </c>
      <c r="M11" s="254">
        <v>697</v>
      </c>
      <c r="N11" s="254">
        <v>744</v>
      </c>
      <c r="O11" s="254">
        <v>597</v>
      </c>
      <c r="P11" s="254">
        <v>579</v>
      </c>
      <c r="Q11" s="254">
        <v>907</v>
      </c>
      <c r="R11" s="254">
        <v>999</v>
      </c>
      <c r="S11" s="254">
        <v>819</v>
      </c>
      <c r="T11" s="254">
        <v>800</v>
      </c>
      <c r="U11" s="254">
        <v>770</v>
      </c>
      <c r="V11" s="254">
        <v>851</v>
      </c>
      <c r="W11" s="254">
        <v>726</v>
      </c>
      <c r="X11" s="254">
        <v>694</v>
      </c>
      <c r="Y11" s="254">
        <v>912</v>
      </c>
      <c r="Z11" s="254">
        <v>933</v>
      </c>
      <c r="AA11" s="254">
        <v>895</v>
      </c>
      <c r="AB11" s="254">
        <v>823</v>
      </c>
      <c r="AC11" s="254">
        <v>965</v>
      </c>
      <c r="AD11" s="254">
        <v>964</v>
      </c>
      <c r="AE11" s="254">
        <v>1081</v>
      </c>
      <c r="AF11" s="254">
        <v>1005</v>
      </c>
      <c r="AG11" s="254">
        <v>1253</v>
      </c>
      <c r="AH11" s="254">
        <v>1420</v>
      </c>
      <c r="AI11" s="254">
        <v>1265</v>
      </c>
      <c r="AJ11" s="254">
        <v>1349</v>
      </c>
      <c r="AK11" s="254">
        <v>1523</v>
      </c>
      <c r="AL11" s="254">
        <v>1474</v>
      </c>
      <c r="AM11" s="254">
        <v>1415</v>
      </c>
      <c r="AN11" s="254">
        <v>1534</v>
      </c>
      <c r="AO11" s="254">
        <v>1471</v>
      </c>
      <c r="AP11" s="254">
        <v>1481</v>
      </c>
      <c r="AQ11" s="254">
        <v>1193</v>
      </c>
      <c r="AR11" s="282">
        <v>1503</v>
      </c>
      <c r="AS11" s="259">
        <v>1460</v>
      </c>
    </row>
    <row r="12" spans="1:93" s="228" customFormat="1" ht="15" customHeight="1" x14ac:dyDescent="0.2">
      <c r="A12" s="226" t="s">
        <v>541</v>
      </c>
      <c r="B12" s="253">
        <v>316</v>
      </c>
      <c r="C12" s="253">
        <v>302</v>
      </c>
      <c r="D12" s="253">
        <v>354</v>
      </c>
      <c r="E12" s="253">
        <v>559</v>
      </c>
      <c r="F12" s="253">
        <v>534</v>
      </c>
      <c r="G12" s="253">
        <v>452</v>
      </c>
      <c r="H12" s="253">
        <v>463</v>
      </c>
      <c r="I12" s="253">
        <v>316</v>
      </c>
      <c r="J12" s="254">
        <v>519</v>
      </c>
      <c r="K12" s="254">
        <v>552</v>
      </c>
      <c r="L12" s="254">
        <v>559</v>
      </c>
      <c r="M12" s="254">
        <v>471</v>
      </c>
      <c r="N12" s="254">
        <v>439</v>
      </c>
      <c r="O12" s="254">
        <v>635</v>
      </c>
      <c r="P12" s="254">
        <v>646</v>
      </c>
      <c r="Q12" s="254">
        <v>587</v>
      </c>
      <c r="R12" s="254">
        <v>661</v>
      </c>
      <c r="S12" s="254">
        <v>668</v>
      </c>
      <c r="T12" s="254">
        <v>689</v>
      </c>
      <c r="U12" s="254">
        <v>886</v>
      </c>
      <c r="V12" s="254">
        <v>1022</v>
      </c>
      <c r="W12" s="254">
        <v>1389</v>
      </c>
      <c r="X12" s="254">
        <v>1430</v>
      </c>
      <c r="Y12" s="254">
        <v>1243</v>
      </c>
      <c r="Z12" s="254">
        <v>1213</v>
      </c>
      <c r="AA12" s="254">
        <v>928</v>
      </c>
      <c r="AB12" s="254">
        <v>735</v>
      </c>
      <c r="AC12" s="254">
        <f>243+527</f>
        <v>770</v>
      </c>
      <c r="AD12" s="254">
        <v>860</v>
      </c>
      <c r="AE12" s="254">
        <v>1237</v>
      </c>
      <c r="AF12" s="254">
        <v>1359</v>
      </c>
      <c r="AG12" s="254">
        <v>1372</v>
      </c>
      <c r="AH12" s="254">
        <v>1611</v>
      </c>
      <c r="AI12" s="254">
        <v>1723</v>
      </c>
      <c r="AJ12" s="254">
        <v>1554</v>
      </c>
      <c r="AK12" s="254">
        <v>1544</v>
      </c>
      <c r="AL12" s="254">
        <v>1774</v>
      </c>
      <c r="AM12" s="254">
        <v>1960</v>
      </c>
      <c r="AN12" s="254">
        <v>1665</v>
      </c>
      <c r="AO12" s="254">
        <v>1868</v>
      </c>
      <c r="AP12" s="254">
        <v>1852</v>
      </c>
      <c r="AQ12" s="254">
        <v>2270</v>
      </c>
      <c r="AR12" s="254">
        <v>2010</v>
      </c>
      <c r="AS12" s="259">
        <v>2258</v>
      </c>
    </row>
    <row r="13" spans="1:93" s="228" customFormat="1" ht="5.0999999999999996" customHeight="1" x14ac:dyDescent="0.2">
      <c r="A13" s="255"/>
      <c r="B13" s="256"/>
      <c r="C13" s="256"/>
      <c r="D13" s="256"/>
      <c r="E13" s="256"/>
      <c r="F13" s="256"/>
      <c r="G13" s="256"/>
      <c r="H13" s="256"/>
      <c r="I13" s="256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  <c r="AH13" s="257"/>
      <c r="AI13" s="257"/>
      <c r="AJ13" s="257"/>
      <c r="AK13" s="257"/>
      <c r="AL13" s="257"/>
      <c r="AM13" s="257"/>
      <c r="AN13" s="257"/>
      <c r="AO13" s="257"/>
      <c r="AP13" s="254"/>
      <c r="AQ13" s="254"/>
      <c r="AR13" s="254"/>
      <c r="AS13" s="259"/>
    </row>
    <row r="14" spans="1:93" s="228" customFormat="1" ht="15" customHeight="1" x14ac:dyDescent="0.2">
      <c r="A14" s="229" t="s">
        <v>120</v>
      </c>
      <c r="B14" s="230">
        <f>SUM(B10:B13)</f>
        <v>4446</v>
      </c>
      <c r="C14" s="230">
        <f t="shared" ref="C14:AO14" si="0">SUM(C10:C13)</f>
        <v>4665</v>
      </c>
      <c r="D14" s="230">
        <f t="shared" si="0"/>
        <v>4800</v>
      </c>
      <c r="E14" s="230">
        <f t="shared" si="0"/>
        <v>5182</v>
      </c>
      <c r="F14" s="230">
        <f t="shared" si="0"/>
        <v>5511</v>
      </c>
      <c r="G14" s="230">
        <f t="shared" si="0"/>
        <v>5610</v>
      </c>
      <c r="H14" s="230">
        <f t="shared" si="0"/>
        <v>5792</v>
      </c>
      <c r="I14" s="230">
        <f t="shared" si="0"/>
        <v>5920</v>
      </c>
      <c r="J14" s="230">
        <f t="shared" si="0"/>
        <v>6362</v>
      </c>
      <c r="K14" s="230">
        <f t="shared" si="0"/>
        <v>6711</v>
      </c>
      <c r="L14" s="230">
        <f t="shared" si="0"/>
        <v>6830</v>
      </c>
      <c r="M14" s="230">
        <f t="shared" si="0"/>
        <v>7082</v>
      </c>
      <c r="N14" s="230">
        <f t="shared" si="0"/>
        <v>7343</v>
      </c>
      <c r="O14" s="230">
        <f t="shared" si="0"/>
        <v>7599</v>
      </c>
      <c r="P14" s="230">
        <f t="shared" si="0"/>
        <v>7837</v>
      </c>
      <c r="Q14" s="230">
        <f t="shared" si="0"/>
        <v>8485</v>
      </c>
      <c r="R14" s="230">
        <f t="shared" si="0"/>
        <v>8777</v>
      </c>
      <c r="S14" s="230">
        <f t="shared" si="0"/>
        <v>9095</v>
      </c>
      <c r="T14" s="230">
        <f t="shared" si="0"/>
        <v>9594</v>
      </c>
      <c r="U14" s="230">
        <f t="shared" si="0"/>
        <v>9910</v>
      </c>
      <c r="V14" s="230">
        <f t="shared" si="0"/>
        <v>10150</v>
      </c>
      <c r="W14" s="230">
        <f t="shared" si="0"/>
        <v>10446</v>
      </c>
      <c r="X14" s="230">
        <f t="shared" si="0"/>
        <v>10531</v>
      </c>
      <c r="Y14" s="230">
        <f t="shared" si="0"/>
        <v>10606</v>
      </c>
      <c r="Z14" s="230">
        <f t="shared" si="0"/>
        <v>10436</v>
      </c>
      <c r="AA14" s="230">
        <f t="shared" si="0"/>
        <v>10496</v>
      </c>
      <c r="AB14" s="230">
        <f t="shared" si="0"/>
        <v>10547</v>
      </c>
      <c r="AC14" s="230">
        <f t="shared" si="0"/>
        <v>10910</v>
      </c>
      <c r="AD14" s="230">
        <f t="shared" si="0"/>
        <v>10872</v>
      </c>
      <c r="AE14" s="230">
        <f t="shared" si="0"/>
        <v>11778</v>
      </c>
      <c r="AF14" s="230">
        <f t="shared" si="0"/>
        <v>12162</v>
      </c>
      <c r="AG14" s="230">
        <f t="shared" si="0"/>
        <v>12686</v>
      </c>
      <c r="AH14" s="230">
        <f t="shared" si="0"/>
        <v>13273</v>
      </c>
      <c r="AI14" s="230">
        <f t="shared" si="0"/>
        <v>13415</v>
      </c>
      <c r="AJ14" s="230">
        <f t="shared" si="0"/>
        <v>13709</v>
      </c>
      <c r="AK14" s="230">
        <f t="shared" si="0"/>
        <v>14379</v>
      </c>
      <c r="AL14" s="230">
        <f t="shared" si="0"/>
        <v>14734</v>
      </c>
      <c r="AM14" s="230">
        <f t="shared" si="0"/>
        <v>14783</v>
      </c>
      <c r="AN14" s="230">
        <f t="shared" si="0"/>
        <v>16799</v>
      </c>
      <c r="AO14" s="230">
        <f t="shared" si="0"/>
        <v>16743</v>
      </c>
      <c r="AP14" s="284">
        <f>SUM(AP10:AP12)</f>
        <v>15900</v>
      </c>
      <c r="AQ14" s="284">
        <f>SUM(AQ10:AQ12)</f>
        <v>15778</v>
      </c>
      <c r="AR14" s="284">
        <f>SUM(AR10:AR12)</f>
        <v>15436</v>
      </c>
      <c r="AS14" s="423">
        <f>SUM(AS10:AS12)</f>
        <v>15661</v>
      </c>
    </row>
    <row r="15" spans="1:93" s="228" customFormat="1" ht="5.0999999999999996" customHeight="1" x14ac:dyDescent="0.2">
      <c r="A15" s="226"/>
      <c r="B15" s="227"/>
      <c r="C15" s="227"/>
      <c r="D15" s="227"/>
      <c r="E15" s="227"/>
      <c r="F15" s="227"/>
      <c r="G15" s="227"/>
      <c r="H15" s="227"/>
      <c r="I15" s="227"/>
      <c r="J15" s="196"/>
      <c r="K15" s="196"/>
      <c r="L15" s="196"/>
      <c r="M15" s="196"/>
      <c r="N15" s="196"/>
      <c r="O15" s="196"/>
      <c r="P15" s="196"/>
      <c r="Q15" s="196"/>
      <c r="R15" s="196"/>
      <c r="S15" s="196"/>
      <c r="T15" s="196"/>
      <c r="U15" s="196"/>
      <c r="V15" s="196"/>
      <c r="W15" s="196"/>
      <c r="X15" s="196"/>
      <c r="Y15" s="196"/>
      <c r="Z15" s="196"/>
      <c r="AA15" s="196"/>
      <c r="AB15" s="196"/>
      <c r="AC15" s="196"/>
      <c r="AD15" s="196"/>
      <c r="AE15" s="196"/>
      <c r="AF15" s="196"/>
      <c r="AG15" s="196"/>
      <c r="AH15" s="196"/>
      <c r="AI15" s="196"/>
      <c r="AJ15" s="196"/>
      <c r="AK15" s="196"/>
      <c r="AL15" s="196"/>
      <c r="AM15" s="196"/>
      <c r="AN15" s="196"/>
      <c r="AO15" s="196"/>
      <c r="AP15" s="254"/>
      <c r="AQ15" s="254"/>
      <c r="AR15" s="254"/>
      <c r="AS15" s="259"/>
    </row>
    <row r="16" spans="1:93" s="228" customFormat="1" ht="15" customHeight="1" x14ac:dyDescent="0.2">
      <c r="A16" s="229" t="s">
        <v>542</v>
      </c>
      <c r="B16" s="230">
        <v>116</v>
      </c>
      <c r="C16" s="230">
        <v>512</v>
      </c>
      <c r="D16" s="230">
        <v>344</v>
      </c>
      <c r="E16" s="230">
        <v>310</v>
      </c>
      <c r="F16" s="230">
        <v>75</v>
      </c>
      <c r="G16" s="230">
        <v>349</v>
      </c>
      <c r="H16" s="230">
        <v>-118</v>
      </c>
      <c r="I16" s="230">
        <v>4</v>
      </c>
      <c r="J16" s="211">
        <v>753</v>
      </c>
      <c r="K16" s="211">
        <v>849</v>
      </c>
      <c r="L16" s="211">
        <v>757</v>
      </c>
      <c r="M16" s="211">
        <v>410</v>
      </c>
      <c r="N16" s="211">
        <v>346</v>
      </c>
      <c r="O16" s="211">
        <v>448</v>
      </c>
      <c r="P16" s="211">
        <v>465</v>
      </c>
      <c r="Q16" s="211">
        <v>533</v>
      </c>
      <c r="R16" s="211">
        <v>585</v>
      </c>
      <c r="S16" s="211">
        <v>376</v>
      </c>
      <c r="T16" s="211">
        <v>636</v>
      </c>
      <c r="U16" s="211">
        <v>348</v>
      </c>
      <c r="V16" s="211">
        <v>545</v>
      </c>
      <c r="W16" s="211">
        <v>588</v>
      </c>
      <c r="X16" s="211">
        <v>424</v>
      </c>
      <c r="Y16" s="211">
        <v>503</v>
      </c>
      <c r="Z16" s="211">
        <v>270</v>
      </c>
      <c r="AA16" s="211">
        <v>91</v>
      </c>
      <c r="AB16" s="211">
        <v>182</v>
      </c>
      <c r="AC16" s="211">
        <v>354</v>
      </c>
      <c r="AD16" s="211">
        <v>90</v>
      </c>
      <c r="AE16" s="211">
        <v>288</v>
      </c>
      <c r="AF16" s="211">
        <v>119</v>
      </c>
      <c r="AG16" s="211">
        <v>300</v>
      </c>
      <c r="AH16" s="211">
        <v>326</v>
      </c>
      <c r="AI16" s="211">
        <v>126</v>
      </c>
      <c r="AJ16" s="211">
        <v>26</v>
      </c>
      <c r="AK16" s="211">
        <v>133</v>
      </c>
      <c r="AL16" s="211">
        <v>158</v>
      </c>
      <c r="AM16" s="211">
        <v>179</v>
      </c>
      <c r="AN16" s="211">
        <v>132</v>
      </c>
      <c r="AO16" s="230">
        <v>190</v>
      </c>
      <c r="AP16" s="284">
        <v>136</v>
      </c>
      <c r="AQ16" s="284">
        <v>120</v>
      </c>
      <c r="AR16" s="284">
        <v>102</v>
      </c>
      <c r="AS16" s="423">
        <v>120</v>
      </c>
    </row>
    <row r="17" spans="1:121" s="228" customFormat="1" ht="5.0999999999999996" customHeight="1" x14ac:dyDescent="0.2">
      <c r="A17" s="229"/>
      <c r="B17" s="230"/>
      <c r="C17" s="230"/>
      <c r="D17" s="230"/>
      <c r="E17" s="230"/>
      <c r="F17" s="230"/>
      <c r="G17" s="230"/>
      <c r="H17" s="230"/>
      <c r="I17" s="230"/>
      <c r="J17" s="211"/>
      <c r="K17" s="211"/>
      <c r="L17" s="211"/>
      <c r="M17" s="211"/>
      <c r="N17" s="211"/>
      <c r="O17" s="211"/>
      <c r="P17" s="211"/>
      <c r="Q17" s="211"/>
      <c r="R17" s="211"/>
      <c r="S17" s="211"/>
      <c r="T17" s="211"/>
      <c r="U17" s="211"/>
      <c r="V17" s="211"/>
      <c r="W17" s="211"/>
      <c r="X17" s="211"/>
      <c r="Y17" s="211"/>
      <c r="Z17" s="211"/>
      <c r="AA17" s="211"/>
      <c r="AB17" s="211"/>
      <c r="AC17" s="211"/>
      <c r="AD17" s="211"/>
      <c r="AE17" s="211"/>
      <c r="AF17" s="211"/>
      <c r="AG17" s="211"/>
      <c r="AH17" s="211"/>
      <c r="AI17" s="211"/>
      <c r="AJ17" s="211"/>
      <c r="AK17" s="211"/>
      <c r="AL17" s="211"/>
      <c r="AM17" s="211"/>
      <c r="AN17" s="211"/>
      <c r="AO17" s="230"/>
      <c r="AP17" s="254"/>
      <c r="AQ17" s="254"/>
      <c r="AR17" s="254"/>
      <c r="AS17" s="259"/>
    </row>
    <row r="18" spans="1:121" s="228" customFormat="1" ht="15" customHeight="1" x14ac:dyDescent="0.2">
      <c r="A18" s="479" t="s">
        <v>540</v>
      </c>
      <c r="B18" s="230">
        <v>0</v>
      </c>
      <c r="C18" s="230">
        <v>0</v>
      </c>
      <c r="D18" s="230">
        <v>0</v>
      </c>
      <c r="E18" s="230">
        <v>0</v>
      </c>
      <c r="F18" s="230">
        <v>0</v>
      </c>
      <c r="G18" s="230">
        <v>0</v>
      </c>
      <c r="H18" s="230">
        <v>0</v>
      </c>
      <c r="I18" s="230">
        <v>0</v>
      </c>
      <c r="J18" s="230">
        <v>0</v>
      </c>
      <c r="K18" s="230">
        <v>0</v>
      </c>
      <c r="L18" s="230">
        <v>0</v>
      </c>
      <c r="M18" s="230">
        <v>0</v>
      </c>
      <c r="N18" s="230">
        <v>0</v>
      </c>
      <c r="O18" s="230">
        <v>0</v>
      </c>
      <c r="P18" s="230">
        <v>0</v>
      </c>
      <c r="Q18" s="230">
        <v>0</v>
      </c>
      <c r="R18" s="230">
        <v>0</v>
      </c>
      <c r="S18" s="230">
        <v>0</v>
      </c>
      <c r="T18" s="230">
        <v>0</v>
      </c>
      <c r="U18" s="230">
        <v>0</v>
      </c>
      <c r="V18" s="230">
        <v>0</v>
      </c>
      <c r="W18" s="230">
        <v>0</v>
      </c>
      <c r="X18" s="230">
        <v>0</v>
      </c>
      <c r="Y18" s="230">
        <v>0</v>
      </c>
      <c r="Z18" s="230">
        <v>0</v>
      </c>
      <c r="AA18" s="230">
        <v>0</v>
      </c>
      <c r="AB18" s="230">
        <v>0</v>
      </c>
      <c r="AC18" s="230">
        <v>0</v>
      </c>
      <c r="AD18" s="230">
        <v>0</v>
      </c>
      <c r="AE18" s="230">
        <v>0</v>
      </c>
      <c r="AF18" s="230">
        <v>0</v>
      </c>
      <c r="AG18" s="230">
        <v>0</v>
      </c>
      <c r="AH18" s="230">
        <v>0</v>
      </c>
      <c r="AI18" s="230">
        <v>0</v>
      </c>
      <c r="AJ18" s="230">
        <v>0</v>
      </c>
      <c r="AK18" s="230">
        <v>0</v>
      </c>
      <c r="AL18" s="230">
        <v>0</v>
      </c>
      <c r="AM18" s="230">
        <v>0</v>
      </c>
      <c r="AN18" s="230">
        <v>0</v>
      </c>
      <c r="AO18" s="230">
        <v>-1264</v>
      </c>
      <c r="AP18" s="284">
        <v>-420</v>
      </c>
      <c r="AQ18" s="284">
        <v>-414</v>
      </c>
      <c r="AR18" s="284">
        <v>-934</v>
      </c>
      <c r="AS18" s="423">
        <v>-751</v>
      </c>
    </row>
    <row r="19" spans="1:121" s="228" customFormat="1" ht="5.0999999999999996" customHeight="1" x14ac:dyDescent="0.2">
      <c r="A19" s="226"/>
      <c r="B19" s="227"/>
      <c r="C19" s="227"/>
      <c r="D19" s="227"/>
      <c r="E19" s="227"/>
      <c r="F19" s="227"/>
      <c r="G19" s="227"/>
      <c r="H19" s="227"/>
      <c r="I19" s="227"/>
      <c r="J19" s="196"/>
      <c r="K19" s="196"/>
      <c r="L19" s="196"/>
      <c r="M19" s="196"/>
      <c r="N19" s="196"/>
      <c r="O19" s="196"/>
      <c r="P19" s="196"/>
      <c r="Q19" s="196"/>
      <c r="R19" s="196"/>
      <c r="S19" s="196"/>
      <c r="T19" s="196"/>
      <c r="U19" s="196"/>
      <c r="V19" s="196"/>
      <c r="W19" s="196"/>
      <c r="X19" s="196"/>
      <c r="Y19" s="196"/>
      <c r="Z19" s="196"/>
      <c r="AA19" s="196"/>
      <c r="AB19" s="196"/>
      <c r="AC19" s="196"/>
      <c r="AD19" s="196"/>
      <c r="AE19" s="196"/>
      <c r="AF19" s="196"/>
      <c r="AG19" s="196"/>
      <c r="AH19" s="196"/>
      <c r="AI19" s="196"/>
      <c r="AJ19" s="196"/>
      <c r="AK19" s="196"/>
      <c r="AL19" s="196"/>
      <c r="AM19" s="196"/>
      <c r="AN19" s="196"/>
      <c r="AO19" s="196"/>
      <c r="AP19" s="196"/>
      <c r="AQ19" s="196"/>
      <c r="AR19" s="196"/>
      <c r="AS19" s="196"/>
    </row>
    <row r="20" spans="1:121" s="178" customFormat="1" ht="15" customHeight="1" thickBot="1" x14ac:dyDescent="0.25">
      <c r="A20" s="175" t="s">
        <v>10</v>
      </c>
      <c r="B20" s="176">
        <f t="shared" ref="B20:AL20" si="1">SUM(B14:B19)</f>
        <v>4562</v>
      </c>
      <c r="C20" s="176">
        <f t="shared" si="1"/>
        <v>5177</v>
      </c>
      <c r="D20" s="176">
        <f t="shared" si="1"/>
        <v>5144</v>
      </c>
      <c r="E20" s="176">
        <f t="shared" si="1"/>
        <v>5492</v>
      </c>
      <c r="F20" s="176">
        <f t="shared" si="1"/>
        <v>5586</v>
      </c>
      <c r="G20" s="176">
        <f t="shared" si="1"/>
        <v>5959</v>
      </c>
      <c r="H20" s="176">
        <f t="shared" si="1"/>
        <v>5674</v>
      </c>
      <c r="I20" s="176">
        <f t="shared" si="1"/>
        <v>5924</v>
      </c>
      <c r="J20" s="176">
        <f t="shared" si="1"/>
        <v>7115</v>
      </c>
      <c r="K20" s="176">
        <f t="shared" si="1"/>
        <v>7560</v>
      </c>
      <c r="L20" s="176">
        <f t="shared" si="1"/>
        <v>7587</v>
      </c>
      <c r="M20" s="176">
        <f t="shared" si="1"/>
        <v>7492</v>
      </c>
      <c r="N20" s="176">
        <f t="shared" si="1"/>
        <v>7689</v>
      </c>
      <c r="O20" s="176">
        <f t="shared" si="1"/>
        <v>8047</v>
      </c>
      <c r="P20" s="176">
        <f t="shared" si="1"/>
        <v>8302</v>
      </c>
      <c r="Q20" s="176">
        <f t="shared" si="1"/>
        <v>9018</v>
      </c>
      <c r="R20" s="176">
        <f t="shared" si="1"/>
        <v>9362</v>
      </c>
      <c r="S20" s="176">
        <f t="shared" si="1"/>
        <v>9471</v>
      </c>
      <c r="T20" s="176">
        <f t="shared" si="1"/>
        <v>10230</v>
      </c>
      <c r="U20" s="176">
        <f t="shared" si="1"/>
        <v>10258</v>
      </c>
      <c r="V20" s="176">
        <f t="shared" si="1"/>
        <v>10695</v>
      </c>
      <c r="W20" s="176">
        <f t="shared" si="1"/>
        <v>11034</v>
      </c>
      <c r="X20" s="176">
        <f t="shared" si="1"/>
        <v>10955</v>
      </c>
      <c r="Y20" s="176">
        <f t="shared" si="1"/>
        <v>11109</v>
      </c>
      <c r="Z20" s="176">
        <f t="shared" si="1"/>
        <v>10706</v>
      </c>
      <c r="AA20" s="176">
        <f t="shared" si="1"/>
        <v>10587</v>
      </c>
      <c r="AB20" s="176">
        <f t="shared" si="1"/>
        <v>10729</v>
      </c>
      <c r="AC20" s="176">
        <f t="shared" si="1"/>
        <v>11264</v>
      </c>
      <c r="AD20" s="176">
        <f t="shared" si="1"/>
        <v>10962</v>
      </c>
      <c r="AE20" s="176">
        <f t="shared" si="1"/>
        <v>12066</v>
      </c>
      <c r="AF20" s="176">
        <f t="shared" si="1"/>
        <v>12281</v>
      </c>
      <c r="AG20" s="176">
        <f t="shared" si="1"/>
        <v>12986</v>
      </c>
      <c r="AH20" s="176">
        <f t="shared" si="1"/>
        <v>13599</v>
      </c>
      <c r="AI20" s="176">
        <f t="shared" si="1"/>
        <v>13541</v>
      </c>
      <c r="AJ20" s="176">
        <f t="shared" si="1"/>
        <v>13735</v>
      </c>
      <c r="AK20" s="176">
        <f t="shared" si="1"/>
        <v>14512</v>
      </c>
      <c r="AL20" s="176">
        <f t="shared" si="1"/>
        <v>14892</v>
      </c>
      <c r="AM20" s="176">
        <f t="shared" ref="AM20:AR20" si="2">SUM(AM14:AM19)</f>
        <v>14962</v>
      </c>
      <c r="AN20" s="176">
        <f t="shared" si="2"/>
        <v>16931</v>
      </c>
      <c r="AO20" s="176">
        <f t="shared" si="2"/>
        <v>15669</v>
      </c>
      <c r="AP20" s="176">
        <f t="shared" si="2"/>
        <v>15616</v>
      </c>
      <c r="AQ20" s="176">
        <f t="shared" si="2"/>
        <v>15484</v>
      </c>
      <c r="AR20" s="375">
        <f t="shared" si="2"/>
        <v>14604</v>
      </c>
      <c r="AS20" s="375">
        <f t="shared" ref="AS20" si="3">SUM(AS14:AS19)</f>
        <v>15030</v>
      </c>
      <c r="AT20" s="193"/>
      <c r="AU20" s="193"/>
      <c r="AV20" s="193"/>
      <c r="AW20" s="193"/>
      <c r="AX20" s="193"/>
      <c r="AY20" s="193"/>
      <c r="AZ20" s="193"/>
      <c r="BA20" s="193"/>
      <c r="BB20" s="193"/>
      <c r="BC20" s="193"/>
      <c r="BD20" s="193"/>
      <c r="BE20" s="193"/>
      <c r="BF20" s="193"/>
      <c r="BG20" s="193"/>
      <c r="BH20" s="193"/>
      <c r="BI20" s="193"/>
      <c r="BJ20" s="193"/>
      <c r="BK20" s="193"/>
      <c r="BL20" s="193"/>
      <c r="BM20" s="193"/>
      <c r="BN20" s="193"/>
      <c r="BO20" s="193"/>
      <c r="BP20" s="193"/>
      <c r="BQ20" s="193"/>
      <c r="BR20" s="193"/>
      <c r="BS20" s="193"/>
      <c r="BT20" s="193"/>
      <c r="BU20" s="193"/>
      <c r="BV20" s="193"/>
      <c r="BW20" s="193"/>
      <c r="BX20" s="193"/>
      <c r="BY20" s="193"/>
      <c r="BZ20" s="193"/>
      <c r="CA20" s="193"/>
      <c r="CB20" s="193"/>
      <c r="CC20" s="193"/>
      <c r="CD20" s="193"/>
      <c r="CE20" s="193"/>
      <c r="CF20" s="193"/>
      <c r="CG20" s="193"/>
      <c r="CH20" s="193"/>
      <c r="CI20" s="193"/>
      <c r="CJ20" s="193"/>
      <c r="CK20" s="193"/>
      <c r="CL20" s="193"/>
      <c r="CM20" s="193"/>
      <c r="CN20" s="193"/>
      <c r="CO20" s="193"/>
      <c r="CP20" s="193"/>
      <c r="CQ20" s="193"/>
      <c r="CR20" s="193"/>
      <c r="CS20" s="193"/>
      <c r="CT20" s="193"/>
      <c r="CU20" s="193"/>
      <c r="CV20" s="193"/>
      <c r="CW20" s="193"/>
      <c r="CX20" s="193"/>
      <c r="CY20" s="193"/>
      <c r="CZ20" s="193"/>
      <c r="DA20" s="193"/>
      <c r="DB20" s="193"/>
      <c r="DC20" s="193"/>
      <c r="DD20" s="193"/>
      <c r="DE20" s="193"/>
      <c r="DF20" s="193"/>
      <c r="DG20" s="193"/>
      <c r="DH20" s="193"/>
      <c r="DI20" s="193"/>
      <c r="DJ20" s="193"/>
      <c r="DK20" s="193"/>
      <c r="DL20" s="193"/>
      <c r="DM20" s="193"/>
      <c r="DN20" s="193"/>
      <c r="DO20" s="193"/>
      <c r="DP20" s="193"/>
      <c r="DQ20" s="193"/>
    </row>
    <row r="21" spans="1:121" s="75" customFormat="1" ht="30" customHeight="1" thickTop="1" x14ac:dyDescent="0.2">
      <c r="M21" s="258"/>
      <c r="N21" s="258"/>
      <c r="O21" s="258"/>
      <c r="P21" s="258"/>
    </row>
    <row r="22" spans="1:121" s="13" customFormat="1" ht="15" customHeight="1" x14ac:dyDescent="0.2">
      <c r="M22" s="74"/>
      <c r="N22" s="74"/>
      <c r="O22" s="74"/>
      <c r="P22" s="74"/>
    </row>
    <row r="23" spans="1:121" s="13" customFormat="1" ht="15" customHeight="1" x14ac:dyDescent="0.2">
      <c r="A23" s="74"/>
      <c r="B23" s="74"/>
      <c r="C23" s="74"/>
      <c r="D23" s="74"/>
      <c r="E23" s="74"/>
      <c r="F23" s="74"/>
      <c r="G23" s="74"/>
      <c r="H23" s="74"/>
      <c r="M23" s="74"/>
      <c r="N23" s="74"/>
      <c r="O23" s="74"/>
      <c r="P23" s="74"/>
    </row>
    <row r="24" spans="1:121" s="13" customFormat="1" ht="15" customHeight="1" x14ac:dyDescent="0.2">
      <c r="A24" s="74"/>
      <c r="B24" s="74"/>
      <c r="C24" s="74"/>
      <c r="D24" s="74"/>
      <c r="E24" s="74"/>
      <c r="F24" s="74"/>
      <c r="G24" s="74"/>
      <c r="H24" s="74"/>
      <c r="M24" s="74"/>
      <c r="N24" s="74"/>
      <c r="O24" s="74"/>
      <c r="P24" s="74"/>
    </row>
    <row r="25" spans="1:121" s="13" customFormat="1" ht="15" customHeight="1" x14ac:dyDescent="0.2">
      <c r="D25" s="73"/>
      <c r="N25" s="74"/>
      <c r="O25" s="74"/>
      <c r="P25" s="74"/>
      <c r="Q25" s="74"/>
    </row>
    <row r="26" spans="1:121" s="13" customFormat="1" ht="15" customHeight="1" x14ac:dyDescent="0.2">
      <c r="J26" s="101"/>
      <c r="K26" s="101"/>
      <c r="L26" s="101"/>
      <c r="M26" s="101"/>
      <c r="N26" s="74"/>
      <c r="O26" s="74"/>
      <c r="P26" s="74"/>
      <c r="Q26" s="74"/>
      <c r="AI26" s="11"/>
      <c r="AJ26" s="101"/>
      <c r="AK26" s="101"/>
    </row>
    <row r="27" spans="1:121" s="13" customFormat="1" ht="15" customHeight="1" x14ac:dyDescent="0.2">
      <c r="J27" s="11"/>
      <c r="K27" s="11"/>
      <c r="L27" s="11"/>
      <c r="M27" s="11"/>
      <c r="N27" s="74"/>
      <c r="O27" s="74"/>
      <c r="P27" s="74"/>
      <c r="Q27" s="74"/>
      <c r="AI27" s="11"/>
      <c r="AJ27" s="11"/>
      <c r="AK27" s="11"/>
    </row>
    <row r="28" spans="1:121" s="13" customFormat="1" ht="15" customHeight="1" x14ac:dyDescent="0.2">
      <c r="J28" s="101"/>
      <c r="K28" s="101"/>
      <c r="L28" s="101"/>
      <c r="M28" s="101"/>
      <c r="N28" s="74"/>
      <c r="O28" s="74"/>
      <c r="P28" s="74"/>
      <c r="Q28" s="74"/>
      <c r="AI28" s="101"/>
      <c r="AJ28" s="101"/>
      <c r="AK28" s="101"/>
    </row>
    <row r="29" spans="1:121" s="13" customFormat="1" ht="15" customHeight="1" x14ac:dyDescent="0.2">
      <c r="N29" s="74"/>
      <c r="O29" s="74"/>
      <c r="P29" s="74"/>
      <c r="Q29" s="74"/>
    </row>
    <row r="30" spans="1:121" s="13" customFormat="1" ht="15" customHeight="1" x14ac:dyDescent="0.2">
      <c r="N30" s="74"/>
      <c r="O30" s="74"/>
      <c r="P30" s="74"/>
      <c r="Q30" s="74"/>
    </row>
    <row r="31" spans="1:121" s="13" customFormat="1" ht="15" customHeight="1" x14ac:dyDescent="0.2">
      <c r="N31" s="74"/>
      <c r="O31" s="74"/>
      <c r="P31" s="74"/>
      <c r="Q31" s="74"/>
    </row>
    <row r="32" spans="1:121" s="13" customFormat="1" ht="15" customHeight="1" x14ac:dyDescent="0.2">
      <c r="N32" s="74"/>
      <c r="O32" s="74"/>
      <c r="P32" s="74"/>
      <c r="Q32" s="74"/>
    </row>
    <row r="33" spans="14:17" s="13" customFormat="1" ht="15" customHeight="1" x14ac:dyDescent="0.2">
      <c r="N33" s="74"/>
      <c r="O33" s="74"/>
      <c r="P33" s="74"/>
      <c r="Q33" s="74"/>
    </row>
    <row r="34" spans="14:17" s="13" customFormat="1" ht="15" customHeight="1" x14ac:dyDescent="0.2">
      <c r="N34" s="74"/>
      <c r="O34" s="74"/>
      <c r="P34" s="74"/>
      <c r="Q34" s="74"/>
    </row>
    <row r="35" spans="14:17" s="13" customFormat="1" ht="15" customHeight="1" x14ac:dyDescent="0.2">
      <c r="N35" s="74"/>
      <c r="O35" s="74"/>
      <c r="P35" s="74"/>
      <c r="Q35" s="74"/>
    </row>
    <row r="36" spans="14:17" s="13" customFormat="1" ht="15" customHeight="1" x14ac:dyDescent="0.2">
      <c r="N36" s="74"/>
      <c r="O36" s="74"/>
      <c r="P36" s="74"/>
      <c r="Q36" s="74"/>
    </row>
    <row r="37" spans="14:17" s="13" customFormat="1" ht="15" customHeight="1" x14ac:dyDescent="0.2">
      <c r="N37" s="74"/>
      <c r="O37" s="74"/>
      <c r="P37" s="74"/>
      <c r="Q37" s="74"/>
    </row>
    <row r="38" spans="14:17" s="13" customFormat="1" ht="15" customHeight="1" x14ac:dyDescent="0.2">
      <c r="N38" s="74"/>
      <c r="O38" s="74"/>
      <c r="P38" s="74"/>
      <c r="Q38" s="74"/>
    </row>
    <row r="39" spans="14:17" s="13" customFormat="1" ht="15" customHeight="1" x14ac:dyDescent="0.2">
      <c r="N39" s="74"/>
      <c r="O39" s="74"/>
      <c r="P39" s="74"/>
      <c r="Q39" s="74"/>
    </row>
    <row r="40" spans="14:17" s="13" customFormat="1" ht="15" customHeight="1" x14ac:dyDescent="0.2">
      <c r="N40" s="74"/>
      <c r="O40" s="74"/>
      <c r="P40" s="74"/>
      <c r="Q40" s="74"/>
    </row>
    <row r="41" spans="14:17" s="13" customFormat="1" ht="15" customHeight="1" x14ac:dyDescent="0.2">
      <c r="N41" s="74"/>
      <c r="O41" s="74"/>
      <c r="P41" s="74"/>
      <c r="Q41" s="74"/>
    </row>
    <row r="42" spans="14:17" s="13" customFormat="1" ht="15" customHeight="1" x14ac:dyDescent="0.2">
      <c r="N42" s="74"/>
      <c r="O42" s="74"/>
      <c r="P42" s="74"/>
      <c r="Q42" s="74"/>
    </row>
    <row r="43" spans="14:17" s="13" customFormat="1" ht="15" customHeight="1" x14ac:dyDescent="0.2">
      <c r="N43" s="74"/>
      <c r="O43" s="74"/>
      <c r="P43" s="74"/>
      <c r="Q43" s="74"/>
    </row>
    <row r="44" spans="14:17" s="13" customFormat="1" ht="15" customHeight="1" x14ac:dyDescent="0.2">
      <c r="N44" s="74"/>
      <c r="O44" s="74"/>
      <c r="P44" s="74"/>
      <c r="Q44" s="74"/>
    </row>
    <row r="45" spans="14:17" s="13" customFormat="1" ht="15" customHeight="1" x14ac:dyDescent="0.2">
      <c r="N45" s="74"/>
      <c r="O45" s="74"/>
      <c r="P45" s="74"/>
      <c r="Q45" s="74"/>
    </row>
    <row r="46" spans="14:17" s="13" customFormat="1" ht="15" customHeight="1" x14ac:dyDescent="0.2">
      <c r="N46" s="74"/>
      <c r="O46" s="74"/>
      <c r="P46" s="74"/>
      <c r="Q46" s="74"/>
    </row>
    <row r="47" spans="14:17" s="13" customFormat="1" ht="15" customHeight="1" x14ac:dyDescent="0.2">
      <c r="N47" s="74"/>
      <c r="O47" s="74"/>
      <c r="P47" s="74"/>
      <c r="Q47" s="74"/>
    </row>
    <row r="48" spans="14:17" s="13" customFormat="1" ht="15" customHeight="1" x14ac:dyDescent="0.2">
      <c r="N48" s="74"/>
      <c r="O48" s="74"/>
      <c r="P48" s="74"/>
      <c r="Q48" s="74"/>
    </row>
    <row r="49" spans="26:33" s="13" customFormat="1" ht="15" customHeight="1" x14ac:dyDescent="0.2">
      <c r="AD49" s="74"/>
      <c r="AE49" s="74"/>
      <c r="AF49" s="74"/>
      <c r="AG49" s="74"/>
    </row>
    <row r="50" spans="26:33" s="13" customFormat="1" ht="15" customHeight="1" x14ac:dyDescent="0.2">
      <c r="Z50" s="74"/>
      <c r="AA50" s="74"/>
      <c r="AB50" s="74"/>
      <c r="AC50" s="74"/>
    </row>
    <row r="51" spans="26:33" s="13" customFormat="1" ht="15" customHeight="1" x14ac:dyDescent="0.2">
      <c r="Z51" s="74"/>
      <c r="AA51" s="74"/>
      <c r="AB51" s="74"/>
      <c r="AC51" s="74"/>
    </row>
    <row r="52" spans="26:33" s="13" customFormat="1" ht="15" customHeight="1" x14ac:dyDescent="0.2">
      <c r="Z52" s="74"/>
      <c r="AA52" s="74"/>
      <c r="AB52" s="74"/>
      <c r="AC52" s="74"/>
    </row>
    <row r="53" spans="26:33" s="13" customFormat="1" ht="15" customHeight="1" x14ac:dyDescent="0.2">
      <c r="Z53" s="74"/>
      <c r="AA53" s="74"/>
      <c r="AB53" s="74"/>
      <c r="AC53" s="74"/>
    </row>
    <row r="54" spans="26:33" s="13" customFormat="1" ht="15" customHeight="1" x14ac:dyDescent="0.2">
      <c r="Z54" s="74"/>
      <c r="AA54" s="74"/>
      <c r="AB54" s="74"/>
      <c r="AC54" s="74"/>
    </row>
    <row r="55" spans="26:33" s="13" customFormat="1" ht="15" customHeight="1" x14ac:dyDescent="0.2">
      <c r="Z55" s="74"/>
      <c r="AA55" s="74"/>
      <c r="AB55" s="74"/>
      <c r="AC55" s="74"/>
    </row>
    <row r="56" spans="26:33" s="13" customFormat="1" ht="15" customHeight="1" x14ac:dyDescent="0.2">
      <c r="Z56" s="74"/>
      <c r="AA56" s="74"/>
      <c r="AB56" s="74"/>
      <c r="AC56" s="74"/>
    </row>
    <row r="57" spans="26:33" s="13" customFormat="1" ht="15" customHeight="1" x14ac:dyDescent="0.2">
      <c r="Z57" s="74"/>
      <c r="AA57" s="74"/>
      <c r="AB57" s="74"/>
      <c r="AC57" s="74"/>
    </row>
    <row r="58" spans="26:33" s="13" customFormat="1" ht="15" customHeight="1" x14ac:dyDescent="0.2">
      <c r="Z58" s="74"/>
      <c r="AA58" s="74"/>
      <c r="AB58" s="74"/>
      <c r="AC58" s="74"/>
    </row>
    <row r="59" spans="26:33" s="13" customFormat="1" ht="15" customHeight="1" x14ac:dyDescent="0.2">
      <c r="Z59" s="74"/>
      <c r="AA59" s="74"/>
      <c r="AB59" s="74"/>
      <c r="AC59" s="74"/>
    </row>
    <row r="60" spans="26:33" s="13" customFormat="1" ht="15" customHeight="1" x14ac:dyDescent="0.2">
      <c r="Z60" s="74"/>
      <c r="AA60" s="74"/>
      <c r="AB60" s="74"/>
      <c r="AC60" s="74"/>
    </row>
    <row r="61" spans="26:33" s="13" customFormat="1" ht="15" customHeight="1" x14ac:dyDescent="0.2">
      <c r="Z61" s="74"/>
      <c r="AA61" s="74"/>
      <c r="AB61" s="74"/>
      <c r="AC61" s="74"/>
    </row>
    <row r="62" spans="26:33" s="13" customFormat="1" ht="15" customHeight="1" x14ac:dyDescent="0.2">
      <c r="Z62" s="74"/>
      <c r="AA62" s="74"/>
      <c r="AB62" s="74"/>
      <c r="AC62" s="74"/>
    </row>
    <row r="63" spans="26:33" s="13" customFormat="1" ht="15" customHeight="1" x14ac:dyDescent="0.2">
      <c r="Z63" s="74"/>
      <c r="AA63" s="74"/>
      <c r="AB63" s="74"/>
      <c r="AC63" s="74"/>
    </row>
    <row r="64" spans="26:33" s="13" customFormat="1" ht="15" customHeight="1" x14ac:dyDescent="0.2">
      <c r="Z64" s="74"/>
      <c r="AA64" s="74"/>
      <c r="AB64" s="74"/>
      <c r="AC64" s="74"/>
    </row>
    <row r="65" spans="26:29" s="13" customFormat="1" ht="15" customHeight="1" x14ac:dyDescent="0.2">
      <c r="Z65" s="74"/>
      <c r="AA65" s="74"/>
      <c r="AB65" s="74"/>
      <c r="AC65" s="74"/>
    </row>
    <row r="66" spans="26:29" s="13" customFormat="1" ht="15" customHeight="1" x14ac:dyDescent="0.2">
      <c r="Z66" s="74"/>
      <c r="AA66" s="74"/>
      <c r="AB66" s="74"/>
      <c r="AC66" s="74"/>
    </row>
    <row r="67" spans="26:29" s="13" customFormat="1" ht="15" customHeight="1" x14ac:dyDescent="0.2">
      <c r="Z67" s="74"/>
      <c r="AA67" s="74"/>
      <c r="AB67" s="74"/>
      <c r="AC67" s="74"/>
    </row>
    <row r="68" spans="26:29" s="13" customFormat="1" ht="15" customHeight="1" x14ac:dyDescent="0.2">
      <c r="Z68" s="74"/>
      <c r="AA68" s="74"/>
      <c r="AB68" s="74"/>
      <c r="AC68" s="74"/>
    </row>
    <row r="69" spans="26:29" s="13" customFormat="1" ht="15" customHeight="1" x14ac:dyDescent="0.2">
      <c r="Z69" s="74"/>
      <c r="AA69" s="74"/>
      <c r="AB69" s="74"/>
      <c r="AC69" s="74"/>
    </row>
    <row r="70" spans="26:29" s="13" customFormat="1" ht="15" customHeight="1" x14ac:dyDescent="0.2">
      <c r="Z70" s="74"/>
      <c r="AA70" s="74"/>
      <c r="AB70" s="74"/>
      <c r="AC70" s="74"/>
    </row>
    <row r="71" spans="26:29" s="13" customFormat="1" ht="15" customHeight="1" x14ac:dyDescent="0.2">
      <c r="Z71" s="74"/>
      <c r="AA71" s="74"/>
      <c r="AB71" s="74"/>
      <c r="AC71" s="74"/>
    </row>
    <row r="72" spans="26:29" s="13" customFormat="1" ht="15" customHeight="1" x14ac:dyDescent="0.2">
      <c r="Z72" s="74"/>
      <c r="AA72" s="74"/>
      <c r="AB72" s="74"/>
      <c r="AC72" s="74"/>
    </row>
    <row r="73" spans="26:29" s="13" customFormat="1" ht="15" customHeight="1" x14ac:dyDescent="0.2">
      <c r="Z73" s="74"/>
      <c r="AA73" s="74"/>
      <c r="AB73" s="74"/>
      <c r="AC73" s="74"/>
    </row>
    <row r="74" spans="26:29" s="13" customFormat="1" ht="15" customHeight="1" x14ac:dyDescent="0.2">
      <c r="Z74" s="74"/>
      <c r="AA74" s="74"/>
      <c r="AB74" s="74"/>
      <c r="AC74" s="74"/>
    </row>
    <row r="75" spans="26:29" s="13" customFormat="1" ht="15" customHeight="1" x14ac:dyDescent="0.2">
      <c r="Z75" s="74"/>
      <c r="AA75" s="74"/>
      <c r="AB75" s="74"/>
      <c r="AC75" s="74"/>
    </row>
    <row r="76" spans="26:29" s="13" customFormat="1" ht="15" customHeight="1" x14ac:dyDescent="0.2">
      <c r="Z76" s="74"/>
      <c r="AA76" s="74"/>
      <c r="AB76" s="74"/>
      <c r="AC76" s="74"/>
    </row>
    <row r="77" spans="26:29" s="13" customFormat="1" ht="15" customHeight="1" x14ac:dyDescent="0.2">
      <c r="Z77" s="74"/>
      <c r="AA77" s="74"/>
      <c r="AB77" s="74"/>
      <c r="AC77" s="74"/>
    </row>
    <row r="78" spans="26:29" s="13" customFormat="1" ht="15" customHeight="1" x14ac:dyDescent="0.2">
      <c r="Z78" s="74"/>
      <c r="AA78" s="74"/>
      <c r="AB78" s="74"/>
      <c r="AC78" s="74"/>
    </row>
    <row r="79" spans="26:29" s="13" customFormat="1" ht="15" customHeight="1" x14ac:dyDescent="0.2">
      <c r="Z79" s="74"/>
      <c r="AA79" s="74"/>
      <c r="AB79" s="74"/>
      <c r="AC79" s="74"/>
    </row>
    <row r="80" spans="26:29" s="13" customFormat="1" ht="15" customHeight="1" x14ac:dyDescent="0.2">
      <c r="Z80" s="74"/>
      <c r="AA80" s="74"/>
      <c r="AB80" s="74"/>
      <c r="AC80" s="74"/>
    </row>
    <row r="81" spans="26:29" s="13" customFormat="1" ht="15" customHeight="1" x14ac:dyDescent="0.2">
      <c r="Z81" s="74"/>
      <c r="AA81" s="74"/>
      <c r="AB81" s="74"/>
      <c r="AC81" s="74"/>
    </row>
    <row r="82" spans="26:29" s="13" customFormat="1" ht="15" customHeight="1" x14ac:dyDescent="0.2">
      <c r="Z82" s="74"/>
      <c r="AA82" s="74"/>
      <c r="AB82" s="74"/>
      <c r="AC82" s="74"/>
    </row>
    <row r="83" spans="26:29" s="13" customFormat="1" ht="15" customHeight="1" x14ac:dyDescent="0.2">
      <c r="Z83" s="74"/>
      <c r="AA83" s="74"/>
      <c r="AB83" s="74"/>
      <c r="AC83" s="74"/>
    </row>
    <row r="84" spans="26:29" s="13" customFormat="1" ht="15" customHeight="1" x14ac:dyDescent="0.2">
      <c r="Z84" s="74"/>
      <c r="AA84" s="74"/>
      <c r="AB84" s="74"/>
      <c r="AC84" s="74"/>
    </row>
    <row r="85" spans="26:29" s="13" customFormat="1" ht="15" customHeight="1" x14ac:dyDescent="0.2">
      <c r="Z85" s="74"/>
      <c r="AA85" s="74"/>
      <c r="AB85" s="74"/>
      <c r="AC85" s="74"/>
    </row>
    <row r="86" spans="26:29" s="13" customFormat="1" ht="15" customHeight="1" x14ac:dyDescent="0.2">
      <c r="Z86" s="74"/>
      <c r="AA86" s="74"/>
      <c r="AB86" s="74"/>
      <c r="AC86" s="74"/>
    </row>
    <row r="87" spans="26:29" s="13" customFormat="1" ht="15" customHeight="1" x14ac:dyDescent="0.2">
      <c r="Z87" s="74"/>
      <c r="AA87" s="74"/>
      <c r="AB87" s="74"/>
      <c r="AC87" s="74"/>
    </row>
    <row r="88" spans="26:29" s="13" customFormat="1" ht="15" customHeight="1" x14ac:dyDescent="0.2">
      <c r="Z88" s="74"/>
      <c r="AA88" s="74"/>
      <c r="AB88" s="74"/>
      <c r="AC88" s="74"/>
    </row>
    <row r="89" spans="26:29" s="13" customFormat="1" ht="15" customHeight="1" x14ac:dyDescent="0.2">
      <c r="Z89" s="74"/>
      <c r="AA89" s="74"/>
      <c r="AB89" s="74"/>
      <c r="AC89" s="74"/>
    </row>
    <row r="90" spans="26:29" s="13" customFormat="1" ht="15" customHeight="1" x14ac:dyDescent="0.2">
      <c r="Z90" s="74"/>
      <c r="AA90" s="74"/>
      <c r="AB90" s="74"/>
      <c r="AC90" s="74"/>
    </row>
    <row r="91" spans="26:29" s="13" customFormat="1" ht="15" customHeight="1" x14ac:dyDescent="0.2">
      <c r="Z91" s="74"/>
      <c r="AA91" s="74"/>
      <c r="AB91" s="74"/>
      <c r="AC91" s="74"/>
    </row>
    <row r="92" spans="26:29" s="13" customFormat="1" ht="15" customHeight="1" x14ac:dyDescent="0.2">
      <c r="Z92" s="74"/>
      <c r="AA92" s="74"/>
      <c r="AB92" s="74"/>
      <c r="AC92" s="74"/>
    </row>
    <row r="93" spans="26:29" s="13" customFormat="1" ht="15" customHeight="1" x14ac:dyDescent="0.2">
      <c r="Z93" s="74"/>
      <c r="AA93" s="74"/>
      <c r="AB93" s="74"/>
      <c r="AC93" s="74"/>
    </row>
    <row r="94" spans="26:29" s="13" customFormat="1" ht="15" customHeight="1" x14ac:dyDescent="0.2">
      <c r="Z94" s="74"/>
      <c r="AA94" s="74"/>
      <c r="AB94" s="74"/>
      <c r="AC94" s="74"/>
    </row>
    <row r="95" spans="26:29" s="13" customFormat="1" ht="15" customHeight="1" x14ac:dyDescent="0.2">
      <c r="Z95" s="74"/>
      <c r="AA95" s="74"/>
      <c r="AB95" s="74"/>
      <c r="AC95" s="74"/>
    </row>
    <row r="96" spans="26:29" s="13" customFormat="1" ht="15" customHeight="1" x14ac:dyDescent="0.2">
      <c r="Z96" s="74"/>
      <c r="AA96" s="74"/>
      <c r="AB96" s="74"/>
      <c r="AC96" s="74"/>
    </row>
    <row r="97" spans="26:29" s="13" customFormat="1" ht="15" customHeight="1" x14ac:dyDescent="0.2">
      <c r="Z97" s="74"/>
      <c r="AA97" s="74"/>
      <c r="AB97" s="74"/>
      <c r="AC97" s="74"/>
    </row>
    <row r="98" spans="26:29" s="13" customFormat="1" ht="15" customHeight="1" x14ac:dyDescent="0.2">
      <c r="Z98" s="74"/>
      <c r="AA98" s="74"/>
      <c r="AB98" s="74"/>
      <c r="AC98" s="74"/>
    </row>
    <row r="99" spans="26:29" s="13" customFormat="1" ht="15" customHeight="1" x14ac:dyDescent="0.2">
      <c r="Z99" s="74"/>
      <c r="AA99" s="74"/>
      <c r="AB99" s="74"/>
      <c r="AC99" s="74"/>
    </row>
    <row r="100" spans="26:29" s="13" customFormat="1" ht="15" customHeight="1" x14ac:dyDescent="0.2">
      <c r="Z100" s="74"/>
      <c r="AA100" s="74"/>
      <c r="AB100" s="74"/>
      <c r="AC100" s="74"/>
    </row>
    <row r="101" spans="26:29" s="13" customFormat="1" ht="15" customHeight="1" x14ac:dyDescent="0.2">
      <c r="Z101" s="74"/>
      <c r="AA101" s="74"/>
      <c r="AB101" s="74"/>
      <c r="AC101" s="74"/>
    </row>
    <row r="102" spans="26:29" s="13" customFormat="1" ht="15" customHeight="1" x14ac:dyDescent="0.2">
      <c r="Z102" s="74"/>
      <c r="AA102" s="74"/>
      <c r="AB102" s="74"/>
      <c r="AC102" s="74"/>
    </row>
    <row r="103" spans="26:29" s="13" customFormat="1" ht="15" customHeight="1" x14ac:dyDescent="0.2">
      <c r="Z103" s="74"/>
      <c r="AA103" s="74"/>
      <c r="AB103" s="74"/>
      <c r="AC103" s="74"/>
    </row>
    <row r="104" spans="26:29" s="13" customFormat="1" ht="15" customHeight="1" x14ac:dyDescent="0.2">
      <c r="Z104" s="74"/>
      <c r="AA104" s="74"/>
      <c r="AB104" s="74"/>
      <c r="AC104" s="74"/>
    </row>
    <row r="105" spans="26:29" s="13" customFormat="1" ht="15" customHeight="1" x14ac:dyDescent="0.2">
      <c r="Z105" s="74"/>
      <c r="AA105" s="74"/>
      <c r="AB105" s="74"/>
      <c r="AC105" s="74"/>
    </row>
    <row r="106" spans="26:29" s="13" customFormat="1" ht="15" customHeight="1" x14ac:dyDescent="0.2">
      <c r="Z106" s="74"/>
      <c r="AA106" s="74"/>
      <c r="AB106" s="74"/>
      <c r="AC106" s="74"/>
    </row>
    <row r="107" spans="26:29" s="13" customFormat="1" ht="15" customHeight="1" x14ac:dyDescent="0.2">
      <c r="Z107" s="74"/>
      <c r="AA107" s="74"/>
      <c r="AB107" s="74"/>
      <c r="AC107" s="74"/>
    </row>
    <row r="108" spans="26:29" s="13" customFormat="1" ht="15" customHeight="1" x14ac:dyDescent="0.2">
      <c r="Z108" s="74"/>
      <c r="AA108" s="74"/>
      <c r="AB108" s="74"/>
      <c r="AC108" s="74"/>
    </row>
    <row r="109" spans="26:29" s="13" customFormat="1" ht="15" customHeight="1" x14ac:dyDescent="0.2">
      <c r="Z109" s="74"/>
      <c r="AA109" s="74"/>
      <c r="AB109" s="74"/>
      <c r="AC109" s="74"/>
    </row>
    <row r="110" spans="26:29" s="13" customFormat="1" ht="15" customHeight="1" x14ac:dyDescent="0.2">
      <c r="Z110" s="74"/>
      <c r="AA110" s="74"/>
      <c r="AB110" s="74"/>
      <c r="AC110" s="74"/>
    </row>
    <row r="111" spans="26:29" s="13" customFormat="1" ht="15" customHeight="1" x14ac:dyDescent="0.2">
      <c r="Z111" s="74"/>
      <c r="AA111" s="74"/>
      <c r="AB111" s="74"/>
      <c r="AC111" s="74"/>
    </row>
    <row r="112" spans="26:29" s="13" customFormat="1" ht="15" customHeight="1" x14ac:dyDescent="0.2">
      <c r="Z112" s="74"/>
      <c r="AA112" s="74"/>
      <c r="AB112" s="74"/>
      <c r="AC112" s="74"/>
    </row>
    <row r="113" spans="26:29" s="13" customFormat="1" ht="15" customHeight="1" x14ac:dyDescent="0.2">
      <c r="Z113" s="74"/>
      <c r="AA113" s="74"/>
      <c r="AB113" s="74"/>
      <c r="AC113" s="74"/>
    </row>
    <row r="114" spans="26:29" s="13" customFormat="1" ht="15" customHeight="1" x14ac:dyDescent="0.2">
      <c r="Z114" s="74"/>
      <c r="AA114" s="74"/>
      <c r="AB114" s="74"/>
      <c r="AC114" s="74"/>
    </row>
    <row r="115" spans="26:29" s="13" customFormat="1" ht="15" customHeight="1" x14ac:dyDescent="0.2">
      <c r="Z115" s="74"/>
      <c r="AA115" s="74"/>
      <c r="AB115" s="74"/>
      <c r="AC115" s="74"/>
    </row>
    <row r="116" spans="26:29" s="13" customFormat="1" ht="15" customHeight="1" x14ac:dyDescent="0.2">
      <c r="Z116" s="74"/>
      <c r="AA116" s="74"/>
      <c r="AB116" s="74"/>
      <c r="AC116" s="74"/>
    </row>
    <row r="117" spans="26:29" s="13" customFormat="1" ht="15" customHeight="1" x14ac:dyDescent="0.2">
      <c r="Z117" s="74"/>
      <c r="AA117" s="74"/>
      <c r="AB117" s="74"/>
      <c r="AC117" s="74"/>
    </row>
    <row r="118" spans="26:29" s="13" customFormat="1" ht="15" customHeight="1" x14ac:dyDescent="0.2">
      <c r="Z118" s="74"/>
      <c r="AA118" s="74"/>
      <c r="AB118" s="74"/>
      <c r="AC118" s="74"/>
    </row>
    <row r="119" spans="26:29" s="13" customFormat="1" ht="15" customHeight="1" x14ac:dyDescent="0.2">
      <c r="Z119" s="74"/>
      <c r="AA119" s="74"/>
      <c r="AB119" s="74"/>
      <c r="AC119" s="74"/>
    </row>
    <row r="120" spans="26:29" s="13" customFormat="1" ht="15" customHeight="1" x14ac:dyDescent="0.2">
      <c r="Z120" s="74"/>
      <c r="AA120" s="74"/>
      <c r="AB120" s="74"/>
      <c r="AC120" s="74"/>
    </row>
    <row r="121" spans="26:29" s="13" customFormat="1" ht="15" customHeight="1" x14ac:dyDescent="0.2">
      <c r="Z121" s="74"/>
      <c r="AA121" s="74"/>
      <c r="AB121" s="74"/>
      <c r="AC121" s="74"/>
    </row>
    <row r="122" spans="26:29" s="13" customFormat="1" ht="15" customHeight="1" x14ac:dyDescent="0.2">
      <c r="Z122" s="74"/>
      <c r="AA122" s="74"/>
      <c r="AB122" s="74"/>
      <c r="AC122" s="74"/>
    </row>
    <row r="123" spans="26:29" s="13" customFormat="1" ht="15" customHeight="1" x14ac:dyDescent="0.2">
      <c r="Z123" s="74"/>
      <c r="AA123" s="74"/>
      <c r="AB123" s="74"/>
      <c r="AC123" s="74"/>
    </row>
  </sheetData>
  <customSheetViews>
    <customSheetView guid="{B7440494-8EA9-4463-9947-E5D20E74049D}" showGridLines="0" printArea="1">
      <pane xSplit="1" ySplit="10" topLeftCell="AC11" activePane="bottomRight" state="frozen"/>
      <selection pane="bottomRight" activeCell="AF19" sqref="AF19"/>
      <colBreaks count="3" manualBreakCount="3">
        <brk id="13" min="1" max="16" man="1"/>
        <brk id="25" min="1" max="16" man="1"/>
        <brk id="37" min="1" max="16" man="1"/>
      </colBreaks>
      <pageMargins left="0" right="0" top="1.1811023622047245" bottom="0" header="0" footer="0"/>
      <printOptions horizontalCentered="1"/>
      <pageSetup paperSize="9" scale="79" fitToWidth="8" orientation="landscape" horizontalDpi="1200" verticalDpi="1200" r:id="rId1"/>
      <headerFooter alignWithMargins="0">
        <oddHeader>&amp;R&amp;P/&amp;N</oddHeader>
      </headerFooter>
    </customSheetView>
    <customSheetView guid="{6D89F6EF-F5AD-478F-979A-5AF1BC78EF91}" showGridLines="0">
      <selection activeCell="C10" sqref="C10"/>
      <colBreaks count="2" manualBreakCount="2">
        <brk id="25" max="32" man="1"/>
        <brk id="41" max="32" man="1"/>
      </colBreaks>
      <pageMargins left="0" right="0" top="1.1811023622047245" bottom="0" header="0" footer="0"/>
      <printOptions horizontalCentered="1"/>
      <pageSetup paperSize="9" orientation="landscape" horizontalDpi="1200" verticalDpi="1200" r:id="rId2"/>
      <headerFooter alignWithMargins="0"/>
    </customSheetView>
    <customSheetView guid="{A9134056-6B1C-4A42-AFE9-9712EF3EF3D4}" showPageBreaks="1" showGridLines="0" printArea="1">
      <selection activeCell="C10" sqref="C10"/>
      <colBreaks count="3" manualBreakCount="3">
        <brk id="13" min="1" max="37" man="1"/>
        <brk id="25" max="32" man="1"/>
        <brk id="41" max="32" man="1"/>
      </colBreaks>
      <pageMargins left="0" right="0" top="1.1811023622047245" bottom="0" header="0" footer="0"/>
      <printOptions horizontalCentered="1"/>
      <pageSetup paperSize="9" orientation="landscape" horizontalDpi="1200" verticalDpi="1200" r:id="rId3"/>
      <headerFooter alignWithMargins="0"/>
    </customSheetView>
  </customSheetViews>
  <hyperlinks>
    <hyperlink ref="AS6" location="Índex!E9" display="Índex"/>
  </hyperlinks>
  <printOptions horizontalCentered="1"/>
  <pageMargins left="0" right="0" top="0.39370078740157483" bottom="0" header="0" footer="0"/>
  <pageSetup paperSize="9" scale="92" fitToWidth="4" orientation="landscape" horizontalDpi="1200" verticalDpi="1200" r:id="rId4"/>
  <headerFooter alignWithMargins="0">
    <oddHeader>&amp;R&amp;P/&amp;N</oddHeader>
  </headerFooter>
  <colBreaks count="5" manualBreakCount="5">
    <brk id="9" max="20" man="1"/>
    <brk id="17" max="20" man="1"/>
    <brk id="25" max="20" man="1"/>
    <brk id="33" max="20" man="1"/>
    <brk id="41" max="20" man="1"/>
  </colBreaks>
  <drawing r:id="rId5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8"/>
  <dimension ref="A1:DQ116"/>
  <sheetViews>
    <sheetView showGridLines="0" zoomScaleNormal="100" workbookViewId="0">
      <pane xSplit="1" ySplit="8" topLeftCell="AH9" activePane="bottomRight" state="frozen"/>
      <selection activeCell="E9" sqref="E9"/>
      <selection pane="topRight" activeCell="E9" sqref="E9"/>
      <selection pane="bottomLeft" activeCell="E9" sqref="E9"/>
      <selection pane="bottomRight" activeCell="E9" sqref="E9"/>
    </sheetView>
  </sheetViews>
  <sheetFormatPr defaultColWidth="10.28515625" defaultRowHeight="15" customHeight="1" x14ac:dyDescent="0.2"/>
  <cols>
    <col min="1" max="1" width="45.140625" style="1" bestFit="1" customWidth="1"/>
    <col min="2" max="39" width="10.7109375" style="1" customWidth="1"/>
    <col min="40" max="16384" width="10.28515625" style="1"/>
  </cols>
  <sheetData>
    <row r="1" spans="1:93" s="25" customFormat="1" ht="15" customHeight="1" x14ac:dyDescent="0.2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2"/>
      <c r="AW1" s="62"/>
      <c r="AX1" s="62"/>
      <c r="AY1" s="62"/>
      <c r="AZ1" s="62"/>
      <c r="BA1" s="62"/>
      <c r="BB1" s="62"/>
      <c r="BC1" s="62"/>
      <c r="BD1" s="62"/>
      <c r="BE1" s="62"/>
      <c r="BF1" s="62"/>
      <c r="BG1" s="62"/>
      <c r="BH1" s="62"/>
      <c r="BI1" s="62"/>
      <c r="BJ1" s="56"/>
      <c r="BK1" s="56"/>
      <c r="BL1" s="56"/>
      <c r="BM1" s="56"/>
      <c r="BN1" s="56"/>
      <c r="BO1" s="56"/>
      <c r="BP1" s="56"/>
      <c r="BQ1" s="56"/>
      <c r="BR1" s="56"/>
      <c r="BS1" s="56"/>
      <c r="BT1" s="56"/>
      <c r="BU1" s="56"/>
    </row>
    <row r="2" spans="1:93" s="25" customFormat="1" ht="15" customHeight="1" x14ac:dyDescent="0.25">
      <c r="A2" s="56"/>
      <c r="B2" s="199"/>
      <c r="C2" s="56"/>
      <c r="D2" s="56"/>
      <c r="E2" s="216"/>
      <c r="F2" s="216"/>
      <c r="G2" s="216"/>
      <c r="H2" s="56"/>
      <c r="I2" s="56"/>
      <c r="J2" s="56"/>
      <c r="K2" s="21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  <c r="BM2" s="56"/>
      <c r="BN2" s="56"/>
      <c r="BO2" s="56"/>
      <c r="BP2" s="56"/>
      <c r="BQ2" s="56"/>
      <c r="BR2" s="56"/>
      <c r="BS2" s="56"/>
      <c r="BT2" s="56"/>
      <c r="BU2" s="56"/>
    </row>
    <row r="3" spans="1:93" s="25" customFormat="1" ht="15" customHeight="1" x14ac:dyDescent="0.25">
      <c r="A3" s="57"/>
      <c r="B3" s="57"/>
      <c r="C3" s="61"/>
      <c r="D3" s="57"/>
      <c r="E3" s="217"/>
      <c r="F3" s="217"/>
      <c r="G3" s="217"/>
      <c r="H3" s="57"/>
      <c r="I3" s="57"/>
      <c r="J3" s="57"/>
      <c r="K3" s="21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7"/>
      <c r="BT3" s="57"/>
      <c r="BU3" s="57"/>
    </row>
    <row r="4" spans="1:93" s="25" customFormat="1" ht="15" customHeight="1" x14ac:dyDescent="0.2">
      <c r="A4" s="58"/>
      <c r="B4" s="58"/>
      <c r="C4" s="58"/>
      <c r="D4" s="58"/>
      <c r="E4" s="218"/>
      <c r="F4" s="218"/>
      <c r="G4" s="218"/>
      <c r="H4" s="58"/>
      <c r="I4" s="58"/>
      <c r="J4" s="58"/>
      <c r="K4" s="21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  <c r="CG4" s="198"/>
      <c r="CH4" s="198"/>
      <c r="CI4" s="198"/>
      <c r="CJ4" s="198"/>
      <c r="CK4" s="198"/>
      <c r="CL4" s="198"/>
      <c r="CM4" s="198"/>
      <c r="CN4" s="198"/>
      <c r="CO4" s="198"/>
    </row>
    <row r="5" spans="1:93" s="25" customFormat="1" ht="19.5" thickBot="1" x14ac:dyDescent="0.35">
      <c r="A5" s="190" t="s">
        <v>544</v>
      </c>
      <c r="B5" s="61"/>
      <c r="C5" s="59"/>
      <c r="D5" s="61"/>
      <c r="E5" s="59"/>
      <c r="F5" s="114"/>
      <c r="G5" s="59"/>
      <c r="H5" s="112"/>
      <c r="I5" s="59"/>
      <c r="J5" s="59"/>
      <c r="K5" s="59"/>
      <c r="L5" s="59"/>
      <c r="M5" s="59"/>
      <c r="N5" s="59"/>
      <c r="O5" s="59"/>
      <c r="P5" s="59"/>
      <c r="Q5" s="59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59"/>
      <c r="BR5" s="59"/>
      <c r="BS5" s="59"/>
      <c r="BT5" s="59"/>
      <c r="BU5" s="59"/>
      <c r="BW5" s="114"/>
      <c r="CA5" s="114"/>
      <c r="CC5" s="134"/>
      <c r="CF5" s="65"/>
      <c r="CG5" s="194"/>
      <c r="CH5" s="194"/>
      <c r="CI5" s="194"/>
      <c r="CJ5" s="225"/>
      <c r="CK5" s="194"/>
      <c r="CL5" s="194"/>
      <c r="CM5" s="194"/>
      <c r="CN5" s="194"/>
      <c r="CO5" s="198"/>
    </row>
    <row r="6" spans="1:93" s="236" customFormat="1" ht="15" customHeight="1" thickTop="1" x14ac:dyDescent="0.2">
      <c r="A6" s="234"/>
      <c r="B6" s="234"/>
      <c r="C6" s="235"/>
      <c r="D6" s="235"/>
      <c r="E6" s="235"/>
      <c r="AL6" s="133"/>
      <c r="AN6" s="133"/>
      <c r="AO6" s="133"/>
      <c r="AP6" s="400"/>
      <c r="AQ6" s="400"/>
      <c r="AR6" s="400"/>
      <c r="AS6" s="400" t="s">
        <v>662</v>
      </c>
    </row>
    <row r="7" spans="1:93" s="183" customFormat="1" ht="15" customHeight="1" x14ac:dyDescent="0.2">
      <c r="A7" s="182"/>
      <c r="B7" s="195" t="s">
        <v>401</v>
      </c>
      <c r="C7" s="195" t="s">
        <v>402</v>
      </c>
      <c r="D7" s="195" t="s">
        <v>403</v>
      </c>
      <c r="E7" s="195" t="s">
        <v>404</v>
      </c>
      <c r="F7" s="195" t="s">
        <v>405</v>
      </c>
      <c r="G7" s="195" t="s">
        <v>406</v>
      </c>
      <c r="H7" s="195" t="s">
        <v>407</v>
      </c>
      <c r="I7" s="195" t="s">
        <v>408</v>
      </c>
      <c r="J7" s="195" t="s">
        <v>409</v>
      </c>
      <c r="K7" s="195" t="s">
        <v>410</v>
      </c>
      <c r="L7" s="195" t="s">
        <v>411</v>
      </c>
      <c r="M7" s="195" t="s">
        <v>412</v>
      </c>
      <c r="N7" s="195" t="s">
        <v>413</v>
      </c>
      <c r="O7" s="195" t="s">
        <v>414</v>
      </c>
      <c r="P7" s="195" t="s">
        <v>415</v>
      </c>
      <c r="Q7" s="195" t="s">
        <v>416</v>
      </c>
      <c r="R7" s="195" t="s">
        <v>417</v>
      </c>
      <c r="S7" s="195" t="s">
        <v>418</v>
      </c>
      <c r="T7" s="195" t="s">
        <v>419</v>
      </c>
      <c r="U7" s="195" t="s">
        <v>420</v>
      </c>
      <c r="V7" s="195" t="s">
        <v>421</v>
      </c>
      <c r="W7" s="195" t="s">
        <v>422</v>
      </c>
      <c r="X7" s="195" t="s">
        <v>423</v>
      </c>
      <c r="Y7" s="195" t="s">
        <v>424</v>
      </c>
      <c r="Z7" s="195" t="s">
        <v>425</v>
      </c>
      <c r="AA7" s="195" t="s">
        <v>426</v>
      </c>
      <c r="AB7" s="195" t="s">
        <v>427</v>
      </c>
      <c r="AC7" s="195" t="s">
        <v>428</v>
      </c>
      <c r="AD7" s="195" t="s">
        <v>429</v>
      </c>
      <c r="AE7" s="195" t="s">
        <v>430</v>
      </c>
      <c r="AF7" s="195" t="s">
        <v>431</v>
      </c>
      <c r="AG7" s="195" t="s">
        <v>432</v>
      </c>
      <c r="AH7" s="195" t="s">
        <v>433</v>
      </c>
      <c r="AI7" s="195" t="s">
        <v>434</v>
      </c>
      <c r="AJ7" s="195" t="s">
        <v>543</v>
      </c>
      <c r="AK7" s="195" t="s">
        <v>435</v>
      </c>
      <c r="AL7" s="195" t="s">
        <v>436</v>
      </c>
      <c r="AM7" s="195" t="s">
        <v>437</v>
      </c>
      <c r="AN7" s="195" t="s">
        <v>438</v>
      </c>
      <c r="AO7" s="410" t="s">
        <v>450</v>
      </c>
      <c r="AP7" s="410" t="s">
        <v>451</v>
      </c>
      <c r="AQ7" s="591" t="s">
        <v>452</v>
      </c>
      <c r="AR7" s="664" t="s">
        <v>453</v>
      </c>
      <c r="AS7" s="664" t="s">
        <v>454</v>
      </c>
      <c r="CC7" s="243"/>
    </row>
    <row r="8" spans="1:93" s="178" customFormat="1" ht="9.9499999999999993" customHeight="1" x14ac:dyDescent="0.2">
      <c r="A8" s="233"/>
      <c r="B8" s="233"/>
      <c r="C8" s="233"/>
      <c r="D8" s="233"/>
      <c r="E8" s="233"/>
      <c r="F8" s="233"/>
      <c r="G8" s="233"/>
      <c r="H8" s="233"/>
      <c r="I8" s="233"/>
      <c r="J8" s="233"/>
      <c r="K8" s="233"/>
      <c r="L8" s="233"/>
      <c r="M8" s="233"/>
      <c r="N8" s="233"/>
      <c r="O8" s="233"/>
      <c r="P8" s="233"/>
      <c r="Q8" s="233"/>
      <c r="R8" s="233"/>
      <c r="S8" s="233"/>
      <c r="T8" s="233"/>
      <c r="U8" s="233"/>
      <c r="V8" s="233"/>
      <c r="W8" s="233"/>
      <c r="X8" s="233"/>
      <c r="Y8" s="233"/>
      <c r="Z8" s="233"/>
      <c r="AA8" s="233"/>
      <c r="AB8" s="233"/>
      <c r="AC8" s="233"/>
      <c r="AD8" s="233"/>
      <c r="AE8" s="233"/>
      <c r="AF8" s="233"/>
      <c r="AG8" s="233"/>
      <c r="AH8" s="233"/>
      <c r="AI8" s="233"/>
      <c r="AJ8" s="233"/>
      <c r="AK8" s="233"/>
      <c r="AL8" s="233"/>
      <c r="AM8" s="233"/>
      <c r="AN8" s="233"/>
      <c r="AO8" s="233"/>
      <c r="AP8" s="233"/>
      <c r="AQ8" s="233"/>
      <c r="AR8" s="233"/>
      <c r="AS8" s="233"/>
      <c r="AT8" s="191"/>
      <c r="AU8" s="191"/>
      <c r="AV8" s="191"/>
      <c r="AW8" s="191"/>
      <c r="AX8" s="191"/>
      <c r="AY8" s="191"/>
      <c r="AZ8" s="191"/>
      <c r="BA8" s="191"/>
      <c r="BB8" s="191"/>
      <c r="BC8" s="191"/>
      <c r="BD8" s="191"/>
      <c r="BE8" s="191"/>
      <c r="BF8" s="191"/>
      <c r="BG8" s="191"/>
      <c r="BH8" s="191"/>
      <c r="BI8" s="191"/>
      <c r="BJ8" s="191"/>
      <c r="BK8" s="191"/>
      <c r="BL8" s="191"/>
      <c r="BM8" s="191"/>
      <c r="BN8" s="191"/>
      <c r="BO8" s="191"/>
      <c r="BP8" s="191"/>
      <c r="BQ8" s="191"/>
      <c r="BR8" s="191"/>
      <c r="BS8" s="191"/>
      <c r="BT8" s="191"/>
      <c r="BU8" s="191"/>
      <c r="BV8" s="191"/>
      <c r="BW8" s="191"/>
      <c r="BX8" s="191"/>
      <c r="BY8" s="191"/>
      <c r="BZ8" s="191"/>
      <c r="CA8" s="191"/>
      <c r="CB8" s="191"/>
      <c r="CC8" s="191"/>
      <c r="CD8" s="191"/>
    </row>
    <row r="9" spans="1:93" s="178" customFormat="1" ht="5.0999999999999996" customHeight="1" x14ac:dyDescent="0.2">
      <c r="A9" s="248"/>
      <c r="B9" s="203"/>
      <c r="C9" s="203"/>
      <c r="D9" s="203"/>
      <c r="E9" s="203"/>
      <c r="F9" s="203"/>
      <c r="G9" s="203"/>
      <c r="H9" s="203"/>
      <c r="I9" s="203"/>
      <c r="J9" s="203"/>
      <c r="K9" s="203"/>
      <c r="L9" s="203"/>
      <c r="M9" s="203"/>
      <c r="N9" s="203"/>
      <c r="O9" s="203"/>
      <c r="P9" s="203"/>
      <c r="Q9" s="203"/>
      <c r="R9" s="203"/>
      <c r="S9" s="203"/>
      <c r="T9" s="203"/>
      <c r="U9" s="203"/>
      <c r="V9" s="203"/>
      <c r="W9" s="203"/>
      <c r="X9" s="203"/>
      <c r="Y9" s="203"/>
      <c r="Z9" s="203"/>
      <c r="AA9" s="203"/>
      <c r="AB9" s="203"/>
      <c r="AC9" s="203"/>
      <c r="AD9" s="203"/>
      <c r="AE9" s="203"/>
      <c r="AF9" s="203"/>
      <c r="AG9" s="203"/>
      <c r="AH9" s="203"/>
      <c r="AI9" s="203"/>
      <c r="AJ9" s="203"/>
      <c r="AK9" s="203"/>
      <c r="AL9" s="203"/>
      <c r="AM9" s="203"/>
      <c r="AN9" s="203"/>
      <c r="AO9" s="203"/>
      <c r="AP9" s="203"/>
      <c r="AQ9" s="203"/>
      <c r="AR9" s="203"/>
      <c r="AS9" s="203"/>
      <c r="AT9" s="203"/>
      <c r="AU9" s="203"/>
      <c r="AV9" s="203"/>
      <c r="AW9" s="203"/>
      <c r="AX9" s="203"/>
      <c r="AY9" s="203"/>
      <c r="AZ9" s="203"/>
      <c r="BA9" s="203"/>
      <c r="BB9" s="203"/>
      <c r="BC9" s="203"/>
      <c r="BD9" s="203"/>
      <c r="BE9" s="203"/>
      <c r="BF9" s="203"/>
      <c r="BG9" s="203"/>
      <c r="BH9" s="203"/>
      <c r="BI9" s="203"/>
      <c r="BJ9" s="203"/>
      <c r="BK9" s="203"/>
      <c r="BL9" s="203"/>
      <c r="BM9" s="203"/>
      <c r="BN9" s="203"/>
      <c r="BO9" s="203"/>
      <c r="BP9" s="203"/>
      <c r="BQ9" s="203"/>
      <c r="BR9" s="203"/>
      <c r="BS9" s="203"/>
      <c r="BT9" s="203"/>
      <c r="BU9" s="203"/>
      <c r="BV9" s="203"/>
      <c r="BW9" s="203"/>
      <c r="BX9" s="203"/>
      <c r="BY9" s="203"/>
      <c r="BZ9" s="203"/>
      <c r="CA9" s="203"/>
      <c r="CB9" s="203"/>
      <c r="CC9" s="203"/>
      <c r="CD9" s="203"/>
    </row>
    <row r="10" spans="1:93" s="228" customFormat="1" ht="15" customHeight="1" x14ac:dyDescent="0.2">
      <c r="A10" s="226" t="s">
        <v>545</v>
      </c>
      <c r="B10" s="253">
        <v>560</v>
      </c>
      <c r="C10" s="253">
        <v>597</v>
      </c>
      <c r="D10" s="253">
        <v>640</v>
      </c>
      <c r="E10" s="253">
        <v>706</v>
      </c>
      <c r="F10" s="253">
        <v>687</v>
      </c>
      <c r="G10" s="253">
        <v>720</v>
      </c>
      <c r="H10" s="253">
        <v>781</v>
      </c>
      <c r="I10" s="253">
        <v>877</v>
      </c>
      <c r="J10" s="254">
        <v>834</v>
      </c>
      <c r="K10" s="254">
        <v>851</v>
      </c>
      <c r="L10" s="254">
        <v>785</v>
      </c>
      <c r="M10" s="254">
        <v>953</v>
      </c>
      <c r="N10" s="254">
        <v>972</v>
      </c>
      <c r="O10" s="254">
        <v>993</v>
      </c>
      <c r="P10" s="254">
        <v>1080</v>
      </c>
      <c r="Q10" s="254">
        <v>1157</v>
      </c>
      <c r="R10" s="254">
        <v>1155</v>
      </c>
      <c r="S10" s="254">
        <v>1236</v>
      </c>
      <c r="T10" s="254">
        <v>1299</v>
      </c>
      <c r="U10" s="254">
        <v>1406</v>
      </c>
      <c r="V10" s="254">
        <f>1389+5</f>
        <v>1394</v>
      </c>
      <c r="W10" s="254">
        <v>1462</v>
      </c>
      <c r="X10" s="254">
        <v>1534</v>
      </c>
      <c r="Y10" s="254">
        <v>1660</v>
      </c>
      <c r="Z10" s="254">
        <v>1676</v>
      </c>
      <c r="AA10" s="254">
        <v>1745</v>
      </c>
      <c r="AB10" s="254">
        <v>1824</v>
      </c>
      <c r="AC10" s="254">
        <v>1920</v>
      </c>
      <c r="AD10" s="254">
        <v>1936</v>
      </c>
      <c r="AE10" s="254">
        <v>1965</v>
      </c>
      <c r="AF10" s="254">
        <v>2023</v>
      </c>
      <c r="AG10" s="254">
        <v>2205</v>
      </c>
      <c r="AH10" s="254">
        <v>2208</v>
      </c>
      <c r="AI10" s="254">
        <v>2373</v>
      </c>
      <c r="AJ10" s="254">
        <v>2448</v>
      </c>
      <c r="AK10" s="254">
        <v>2583</v>
      </c>
      <c r="AL10" s="254">
        <v>2421</v>
      </c>
      <c r="AM10" s="254">
        <v>2459</v>
      </c>
      <c r="AN10" s="254">
        <v>2696</v>
      </c>
      <c r="AO10" s="254">
        <v>2798</v>
      </c>
      <c r="AP10" s="254">
        <v>2637</v>
      </c>
      <c r="AQ10" s="254">
        <v>2650</v>
      </c>
      <c r="AR10" s="254">
        <v>2789</v>
      </c>
      <c r="AS10" s="259">
        <v>2949</v>
      </c>
    </row>
    <row r="11" spans="1:93" s="228" customFormat="1" ht="15" customHeight="1" x14ac:dyDescent="0.2">
      <c r="A11" s="226" t="s">
        <v>546</v>
      </c>
      <c r="B11" s="253">
        <v>529</v>
      </c>
      <c r="C11" s="253">
        <v>535</v>
      </c>
      <c r="D11" s="253">
        <v>540</v>
      </c>
      <c r="E11" s="253">
        <v>556</v>
      </c>
      <c r="F11" s="253">
        <v>521</v>
      </c>
      <c r="G11" s="253">
        <v>520</v>
      </c>
      <c r="H11" s="253">
        <v>496</v>
      </c>
      <c r="I11" s="253">
        <v>492</v>
      </c>
      <c r="J11" s="254">
        <v>487</v>
      </c>
      <c r="K11" s="254">
        <v>551</v>
      </c>
      <c r="L11" s="254">
        <v>539</v>
      </c>
      <c r="M11" s="254">
        <v>543</v>
      </c>
      <c r="N11" s="254">
        <v>542</v>
      </c>
      <c r="O11" s="254">
        <v>577</v>
      </c>
      <c r="P11" s="254">
        <v>596</v>
      </c>
      <c r="Q11" s="254">
        <v>646</v>
      </c>
      <c r="R11" s="254">
        <v>649</v>
      </c>
      <c r="S11" s="254">
        <v>681</v>
      </c>
      <c r="T11" s="254">
        <v>708</v>
      </c>
      <c r="U11" s="254">
        <v>748</v>
      </c>
      <c r="V11" s="254">
        <v>748</v>
      </c>
      <c r="W11" s="254">
        <v>805</v>
      </c>
      <c r="X11" s="254">
        <v>826</v>
      </c>
      <c r="Y11" s="254">
        <v>866</v>
      </c>
      <c r="Z11" s="254">
        <v>833</v>
      </c>
      <c r="AA11" s="254">
        <v>889</v>
      </c>
      <c r="AB11" s="254">
        <v>933</v>
      </c>
      <c r="AC11" s="254">
        <v>953</v>
      </c>
      <c r="AD11" s="254">
        <v>944</v>
      </c>
      <c r="AE11" s="254">
        <v>972</v>
      </c>
      <c r="AF11" s="254">
        <v>1025</v>
      </c>
      <c r="AG11" s="254">
        <v>1080</v>
      </c>
      <c r="AH11" s="254">
        <v>1072</v>
      </c>
      <c r="AI11" s="254">
        <v>1204</v>
      </c>
      <c r="AJ11" s="254">
        <v>1294</v>
      </c>
      <c r="AK11" s="254">
        <v>1376</v>
      </c>
      <c r="AL11" s="254">
        <v>1364</v>
      </c>
      <c r="AM11" s="254">
        <v>1410</v>
      </c>
      <c r="AN11" s="254">
        <v>1615</v>
      </c>
      <c r="AO11" s="254">
        <v>1623</v>
      </c>
      <c r="AP11" s="254">
        <v>1601</v>
      </c>
      <c r="AQ11" s="254">
        <v>1651</v>
      </c>
      <c r="AR11" s="254">
        <v>1679</v>
      </c>
      <c r="AS11" s="259">
        <v>1727</v>
      </c>
    </row>
    <row r="12" spans="1:93" s="228" customFormat="1" ht="15" customHeight="1" x14ac:dyDescent="0.2">
      <c r="A12" s="226" t="s">
        <v>183</v>
      </c>
      <c r="B12" s="253">
        <v>422</v>
      </c>
      <c r="C12" s="253">
        <v>445</v>
      </c>
      <c r="D12" s="253">
        <v>495</v>
      </c>
      <c r="E12" s="253">
        <v>503</v>
      </c>
      <c r="F12" s="253">
        <v>482</v>
      </c>
      <c r="G12" s="253">
        <v>387</v>
      </c>
      <c r="H12" s="253">
        <v>337</v>
      </c>
      <c r="I12" s="253">
        <v>304</v>
      </c>
      <c r="J12" s="254">
        <v>366</v>
      </c>
      <c r="K12" s="254">
        <v>362</v>
      </c>
      <c r="L12" s="254">
        <v>390</v>
      </c>
      <c r="M12" s="254">
        <v>405</v>
      </c>
      <c r="N12" s="254">
        <v>390</v>
      </c>
      <c r="O12" s="254">
        <v>439</v>
      </c>
      <c r="P12" s="254">
        <v>434</v>
      </c>
      <c r="Q12" s="254">
        <v>465</v>
      </c>
      <c r="R12" s="254">
        <v>455</v>
      </c>
      <c r="S12" s="254">
        <v>496</v>
      </c>
      <c r="T12" s="254">
        <v>505</v>
      </c>
      <c r="U12" s="254">
        <v>528</v>
      </c>
      <c r="V12" s="254">
        <v>501</v>
      </c>
      <c r="W12" s="254">
        <v>524</v>
      </c>
      <c r="X12" s="254">
        <v>538</v>
      </c>
      <c r="Y12" s="254">
        <v>517</v>
      </c>
      <c r="Z12" s="254">
        <v>517</v>
      </c>
      <c r="AA12" s="254">
        <v>573</v>
      </c>
      <c r="AB12" s="254">
        <v>553</v>
      </c>
      <c r="AC12" s="254">
        <v>598</v>
      </c>
      <c r="AD12" s="254">
        <v>573</v>
      </c>
      <c r="AE12" s="254">
        <v>625</v>
      </c>
      <c r="AF12" s="254">
        <v>688</v>
      </c>
      <c r="AG12" s="254">
        <v>695</v>
      </c>
      <c r="AH12" s="254">
        <v>635</v>
      </c>
      <c r="AI12" s="254">
        <v>698</v>
      </c>
      <c r="AJ12" s="254">
        <v>739</v>
      </c>
      <c r="AK12" s="254">
        <v>729</v>
      </c>
      <c r="AL12" s="254">
        <v>656</v>
      </c>
      <c r="AM12" s="254">
        <v>710</v>
      </c>
      <c r="AN12" s="254">
        <v>767</v>
      </c>
      <c r="AO12" s="254">
        <v>678</v>
      </c>
      <c r="AP12" s="254">
        <v>731</v>
      </c>
      <c r="AQ12" s="254">
        <v>774</v>
      </c>
      <c r="AR12" s="254">
        <v>718</v>
      </c>
      <c r="AS12" s="259">
        <v>761</v>
      </c>
    </row>
    <row r="13" spans="1:93" s="228" customFormat="1" ht="15" customHeight="1" x14ac:dyDescent="0.2">
      <c r="A13" s="226" t="s">
        <v>547</v>
      </c>
      <c r="B13" s="253">
        <v>334</v>
      </c>
      <c r="C13" s="253">
        <v>345</v>
      </c>
      <c r="D13" s="253">
        <v>376</v>
      </c>
      <c r="E13" s="253">
        <v>384</v>
      </c>
      <c r="F13" s="253">
        <v>385</v>
      </c>
      <c r="G13" s="253">
        <v>392</v>
      </c>
      <c r="H13" s="253">
        <v>407</v>
      </c>
      <c r="I13" s="253">
        <v>386</v>
      </c>
      <c r="J13" s="254">
        <v>369</v>
      </c>
      <c r="K13" s="254">
        <v>382</v>
      </c>
      <c r="L13" s="254">
        <v>421</v>
      </c>
      <c r="M13" s="254">
        <v>430</v>
      </c>
      <c r="N13" s="254">
        <v>429</v>
      </c>
      <c r="O13" s="254">
        <v>441</v>
      </c>
      <c r="P13" s="254">
        <v>470</v>
      </c>
      <c r="Q13" s="254">
        <v>467</v>
      </c>
      <c r="R13" s="254">
        <v>471</v>
      </c>
      <c r="S13" s="254">
        <v>474</v>
      </c>
      <c r="T13" s="254">
        <v>506</v>
      </c>
      <c r="U13" s="254">
        <v>498</v>
      </c>
      <c r="V13" s="254">
        <v>526</v>
      </c>
      <c r="W13" s="254">
        <v>535</v>
      </c>
      <c r="X13" s="254">
        <v>562</v>
      </c>
      <c r="Y13" s="254">
        <v>550</v>
      </c>
      <c r="Z13" s="254">
        <v>550</v>
      </c>
      <c r="AA13" s="254">
        <v>581</v>
      </c>
      <c r="AB13" s="254">
        <v>604</v>
      </c>
      <c r="AC13" s="254">
        <v>589</v>
      </c>
      <c r="AD13" s="254">
        <v>562</v>
      </c>
      <c r="AE13" s="254">
        <v>578</v>
      </c>
      <c r="AF13" s="254">
        <v>653</v>
      </c>
      <c r="AG13" s="254">
        <v>657</v>
      </c>
      <c r="AH13" s="254">
        <v>625</v>
      </c>
      <c r="AI13" s="254">
        <v>637</v>
      </c>
      <c r="AJ13" s="254">
        <v>692</v>
      </c>
      <c r="AK13" s="254">
        <v>663</v>
      </c>
      <c r="AL13" s="254">
        <v>674</v>
      </c>
      <c r="AM13" s="254">
        <v>701</v>
      </c>
      <c r="AN13" s="254">
        <v>864</v>
      </c>
      <c r="AO13" s="254">
        <v>851</v>
      </c>
      <c r="AP13" s="254">
        <v>912</v>
      </c>
      <c r="AQ13" s="254">
        <v>898</v>
      </c>
      <c r="AR13" s="254">
        <v>977</v>
      </c>
      <c r="AS13" s="259">
        <v>944</v>
      </c>
    </row>
    <row r="14" spans="1:93" s="228" customFormat="1" ht="15" customHeight="1" x14ac:dyDescent="0.2">
      <c r="A14" s="226" t="s">
        <v>123</v>
      </c>
      <c r="B14" s="253">
        <v>204</v>
      </c>
      <c r="C14" s="253">
        <v>211</v>
      </c>
      <c r="D14" s="253">
        <v>217</v>
      </c>
      <c r="E14" s="253">
        <v>227</v>
      </c>
      <c r="F14" s="253">
        <v>225</v>
      </c>
      <c r="G14" s="253">
        <v>242</v>
      </c>
      <c r="H14" s="253">
        <v>252</v>
      </c>
      <c r="I14" s="253">
        <v>254</v>
      </c>
      <c r="J14" s="254">
        <v>236</v>
      </c>
      <c r="K14" s="254">
        <v>247</v>
      </c>
      <c r="L14" s="254">
        <v>254</v>
      </c>
      <c r="M14" s="254">
        <v>259</v>
      </c>
      <c r="N14" s="254">
        <v>257</v>
      </c>
      <c r="O14" s="254">
        <v>265</v>
      </c>
      <c r="P14" s="254">
        <v>273</v>
      </c>
      <c r="Q14" s="254">
        <v>286</v>
      </c>
      <c r="R14" s="254">
        <v>277</v>
      </c>
      <c r="S14" s="254">
        <v>298</v>
      </c>
      <c r="T14" s="254">
        <v>318</v>
      </c>
      <c r="U14" s="254">
        <v>321</v>
      </c>
      <c r="V14" s="254">
        <v>313</v>
      </c>
      <c r="W14" s="254">
        <v>322</v>
      </c>
      <c r="X14" s="254">
        <v>338</v>
      </c>
      <c r="Y14" s="254">
        <v>340</v>
      </c>
      <c r="Z14" s="254">
        <v>344</v>
      </c>
      <c r="AA14" s="254">
        <v>367</v>
      </c>
      <c r="AB14" s="254">
        <v>381</v>
      </c>
      <c r="AC14" s="254">
        <v>380</v>
      </c>
      <c r="AD14" s="254">
        <v>380</v>
      </c>
      <c r="AE14" s="254">
        <v>388</v>
      </c>
      <c r="AF14" s="254">
        <v>400</v>
      </c>
      <c r="AG14" s="254">
        <v>398</v>
      </c>
      <c r="AH14" s="254">
        <v>387</v>
      </c>
      <c r="AI14" s="254">
        <v>391</v>
      </c>
      <c r="AJ14" s="254">
        <v>397</v>
      </c>
      <c r="AK14" s="254">
        <v>400</v>
      </c>
      <c r="AL14" s="254">
        <v>399</v>
      </c>
      <c r="AM14" s="254">
        <v>412</v>
      </c>
      <c r="AN14" s="254">
        <v>489</v>
      </c>
      <c r="AO14" s="254">
        <v>477</v>
      </c>
      <c r="AP14" s="254">
        <v>478</v>
      </c>
      <c r="AQ14" s="254">
        <v>475</v>
      </c>
      <c r="AR14" s="254">
        <v>501</v>
      </c>
      <c r="AS14" s="259">
        <v>512</v>
      </c>
    </row>
    <row r="15" spans="1:93" s="228" customFormat="1" ht="15" customHeight="1" x14ac:dyDescent="0.2">
      <c r="A15" s="226" t="s">
        <v>548</v>
      </c>
      <c r="B15" s="253">
        <v>49</v>
      </c>
      <c r="C15" s="253">
        <v>57</v>
      </c>
      <c r="D15" s="253">
        <v>64</v>
      </c>
      <c r="E15" s="253">
        <v>71</v>
      </c>
      <c r="F15" s="253">
        <v>72</v>
      </c>
      <c r="G15" s="253">
        <v>77</v>
      </c>
      <c r="H15" s="253">
        <v>79</v>
      </c>
      <c r="I15" s="253">
        <v>101</v>
      </c>
      <c r="J15" s="254">
        <v>89</v>
      </c>
      <c r="K15" s="254">
        <v>101</v>
      </c>
      <c r="L15" s="254">
        <v>106</v>
      </c>
      <c r="M15" s="254">
        <v>116</v>
      </c>
      <c r="N15" s="254">
        <v>114</v>
      </c>
      <c r="O15" s="254">
        <v>115</v>
      </c>
      <c r="P15" s="254">
        <v>112</v>
      </c>
      <c r="Q15" s="254">
        <v>108</v>
      </c>
      <c r="R15" s="254">
        <v>108</v>
      </c>
      <c r="S15" s="254">
        <v>102</v>
      </c>
      <c r="T15" s="254">
        <v>108</v>
      </c>
      <c r="U15" s="254">
        <v>102</v>
      </c>
      <c r="V15" s="254">
        <v>117</v>
      </c>
      <c r="W15" s="254">
        <v>119</v>
      </c>
      <c r="X15" s="254">
        <v>122</v>
      </c>
      <c r="Y15" s="254">
        <v>124</v>
      </c>
      <c r="Z15" s="254">
        <v>124</v>
      </c>
      <c r="AA15" s="254">
        <v>136</v>
      </c>
      <c r="AB15" s="254">
        <v>127</v>
      </c>
      <c r="AC15" s="254">
        <v>124</v>
      </c>
      <c r="AD15" s="254">
        <v>125</v>
      </c>
      <c r="AE15" s="254">
        <v>121</v>
      </c>
      <c r="AF15" s="254">
        <v>138</v>
      </c>
      <c r="AG15" s="254">
        <v>136</v>
      </c>
      <c r="AH15" s="254">
        <v>129</v>
      </c>
      <c r="AI15" s="254">
        <v>135</v>
      </c>
      <c r="AJ15" s="254">
        <v>149</v>
      </c>
      <c r="AK15" s="254">
        <v>144</v>
      </c>
      <c r="AL15" s="254">
        <v>150</v>
      </c>
      <c r="AM15" s="254">
        <v>171</v>
      </c>
      <c r="AN15" s="254">
        <v>201</v>
      </c>
      <c r="AO15" s="254">
        <v>203</v>
      </c>
      <c r="AP15" s="254">
        <v>211</v>
      </c>
      <c r="AQ15" s="254">
        <v>213</v>
      </c>
      <c r="AR15" s="254">
        <v>228</v>
      </c>
      <c r="AS15" s="259">
        <v>226</v>
      </c>
    </row>
    <row r="16" spans="1:93" s="246" customFormat="1" ht="15" customHeight="1" x14ac:dyDescent="0.2">
      <c r="A16" s="226" t="s">
        <v>549</v>
      </c>
      <c r="B16" s="253">
        <v>53</v>
      </c>
      <c r="C16" s="253">
        <v>57</v>
      </c>
      <c r="D16" s="253">
        <v>61</v>
      </c>
      <c r="E16" s="253">
        <v>65</v>
      </c>
      <c r="F16" s="253">
        <v>72</v>
      </c>
      <c r="G16" s="253">
        <v>78</v>
      </c>
      <c r="H16" s="253">
        <v>84</v>
      </c>
      <c r="I16" s="253">
        <v>84</v>
      </c>
      <c r="J16" s="93">
        <v>80</v>
      </c>
      <c r="K16" s="93">
        <v>85</v>
      </c>
      <c r="L16" s="93">
        <v>91</v>
      </c>
      <c r="M16" s="93">
        <v>95</v>
      </c>
      <c r="N16" s="93">
        <v>97</v>
      </c>
      <c r="O16" s="93">
        <v>105</v>
      </c>
      <c r="P16" s="93">
        <v>112</v>
      </c>
      <c r="Q16" s="93">
        <v>119</v>
      </c>
      <c r="R16" s="93">
        <v>121</v>
      </c>
      <c r="S16" s="93">
        <v>129</v>
      </c>
      <c r="T16" s="93">
        <v>139</v>
      </c>
      <c r="U16" s="93">
        <v>137</v>
      </c>
      <c r="V16" s="93">
        <v>144</v>
      </c>
      <c r="W16" s="93">
        <v>150</v>
      </c>
      <c r="X16" s="93">
        <v>159</v>
      </c>
      <c r="Y16" s="93">
        <v>161</v>
      </c>
      <c r="Z16" s="93">
        <v>167</v>
      </c>
      <c r="AA16" s="93">
        <v>177</v>
      </c>
      <c r="AB16" s="93">
        <v>182</v>
      </c>
      <c r="AC16" s="93">
        <v>196</v>
      </c>
      <c r="AD16" s="93">
        <v>199</v>
      </c>
      <c r="AE16" s="93">
        <v>214</v>
      </c>
      <c r="AF16" s="93">
        <v>228</v>
      </c>
      <c r="AG16" s="93">
        <v>240</v>
      </c>
      <c r="AH16" s="93">
        <v>244</v>
      </c>
      <c r="AI16" s="93">
        <v>255</v>
      </c>
      <c r="AJ16" s="93">
        <v>267</v>
      </c>
      <c r="AK16" s="93">
        <v>275</v>
      </c>
      <c r="AL16" s="93">
        <v>278</v>
      </c>
      <c r="AM16" s="93">
        <v>290</v>
      </c>
      <c r="AN16" s="93">
        <v>347</v>
      </c>
      <c r="AO16" s="93">
        <v>363</v>
      </c>
      <c r="AP16" s="281">
        <v>369</v>
      </c>
      <c r="AQ16" s="281">
        <v>378</v>
      </c>
      <c r="AR16" s="281">
        <v>390</v>
      </c>
      <c r="AS16" s="421">
        <v>389</v>
      </c>
    </row>
    <row r="17" spans="1:121" s="246" customFormat="1" ht="15" customHeight="1" x14ac:dyDescent="0.2">
      <c r="A17" s="226" t="s">
        <v>550</v>
      </c>
      <c r="B17" s="253">
        <v>70</v>
      </c>
      <c r="C17" s="253">
        <v>66</v>
      </c>
      <c r="D17" s="253">
        <v>63</v>
      </c>
      <c r="E17" s="253">
        <v>56</v>
      </c>
      <c r="F17" s="253">
        <v>59</v>
      </c>
      <c r="G17" s="253">
        <v>59</v>
      </c>
      <c r="H17" s="253">
        <v>60</v>
      </c>
      <c r="I17" s="253">
        <v>61</v>
      </c>
      <c r="J17" s="93">
        <v>63</v>
      </c>
      <c r="K17" s="93">
        <v>63</v>
      </c>
      <c r="L17" s="93">
        <v>64</v>
      </c>
      <c r="M17" s="93">
        <v>66</v>
      </c>
      <c r="N17" s="93">
        <v>69</v>
      </c>
      <c r="O17" s="93">
        <v>70</v>
      </c>
      <c r="P17" s="93">
        <v>74</v>
      </c>
      <c r="Q17" s="93">
        <v>74</v>
      </c>
      <c r="R17" s="93">
        <v>77</v>
      </c>
      <c r="S17" s="93">
        <v>76</v>
      </c>
      <c r="T17" s="93">
        <v>78</v>
      </c>
      <c r="U17" s="93">
        <v>81</v>
      </c>
      <c r="V17" s="93">
        <v>78</v>
      </c>
      <c r="W17" s="93">
        <v>80</v>
      </c>
      <c r="X17" s="93">
        <v>80</v>
      </c>
      <c r="Y17" s="93">
        <v>81</v>
      </c>
      <c r="Z17" s="93">
        <v>79</v>
      </c>
      <c r="AA17" s="93">
        <v>87</v>
      </c>
      <c r="AB17" s="93">
        <v>87</v>
      </c>
      <c r="AC17" s="93">
        <v>87</v>
      </c>
      <c r="AD17" s="93">
        <v>96</v>
      </c>
      <c r="AE17" s="93">
        <v>100</v>
      </c>
      <c r="AF17" s="93">
        <v>89</v>
      </c>
      <c r="AG17" s="93">
        <v>87</v>
      </c>
      <c r="AH17" s="93">
        <v>102</v>
      </c>
      <c r="AI17" s="93">
        <v>95</v>
      </c>
      <c r="AJ17" s="93">
        <v>90</v>
      </c>
      <c r="AK17" s="93">
        <v>97</v>
      </c>
      <c r="AL17" s="93">
        <v>97</v>
      </c>
      <c r="AM17" s="93">
        <v>90</v>
      </c>
      <c r="AN17" s="93">
        <v>93</v>
      </c>
      <c r="AO17" s="93">
        <v>94</v>
      </c>
      <c r="AP17" s="281">
        <v>108</v>
      </c>
      <c r="AQ17" s="281">
        <v>101</v>
      </c>
      <c r="AR17" s="281">
        <v>100</v>
      </c>
      <c r="AS17" s="421">
        <v>101</v>
      </c>
    </row>
    <row r="18" spans="1:121" s="246" customFormat="1" ht="15" customHeight="1" x14ac:dyDescent="0.2">
      <c r="A18" s="226" t="s">
        <v>91</v>
      </c>
      <c r="B18" s="253">
        <v>237</v>
      </c>
      <c r="C18" s="253">
        <v>201</v>
      </c>
      <c r="D18" s="253">
        <v>205</v>
      </c>
      <c r="E18" s="253">
        <v>215</v>
      </c>
      <c r="F18" s="253">
        <v>188</v>
      </c>
      <c r="G18" s="253">
        <v>182</v>
      </c>
      <c r="H18" s="253">
        <v>202</v>
      </c>
      <c r="I18" s="253">
        <v>139</v>
      </c>
      <c r="J18" s="260">
        <v>199</v>
      </c>
      <c r="K18" s="260">
        <v>269</v>
      </c>
      <c r="L18" s="260">
        <v>207</v>
      </c>
      <c r="M18" s="260">
        <v>258</v>
      </c>
      <c r="N18" s="260">
        <v>254</v>
      </c>
      <c r="O18" s="260">
        <f>40+208</f>
        <v>248</v>
      </c>
      <c r="P18" s="260">
        <f>85+190</f>
        <v>275</v>
      </c>
      <c r="Q18" s="260">
        <f>91+155</f>
        <v>246</v>
      </c>
      <c r="R18" s="260">
        <f>48+149</f>
        <v>197</v>
      </c>
      <c r="S18" s="260">
        <f>104+155</f>
        <v>259</v>
      </c>
      <c r="T18" s="260">
        <f>58+157</f>
        <v>215</v>
      </c>
      <c r="U18" s="260">
        <f>89+176</f>
        <v>265</v>
      </c>
      <c r="V18" s="260">
        <f>109+193-5</f>
        <v>297</v>
      </c>
      <c r="W18" s="260">
        <f>115+175-6</f>
        <v>284</v>
      </c>
      <c r="X18" s="260">
        <f>94+193-8</f>
        <v>279</v>
      </c>
      <c r="Y18" s="260">
        <f>198+184-6</f>
        <v>376</v>
      </c>
      <c r="Z18" s="260">
        <f>121+186+1</f>
        <v>308</v>
      </c>
      <c r="AA18" s="260">
        <f>225+205-2</f>
        <v>428</v>
      </c>
      <c r="AB18" s="260">
        <f>69+216+1</f>
        <v>286</v>
      </c>
      <c r="AC18" s="260">
        <f>153+227</f>
        <v>380</v>
      </c>
      <c r="AD18" s="260">
        <v>468</v>
      </c>
      <c r="AE18" s="260">
        <v>365</v>
      </c>
      <c r="AF18" s="260">
        <f>134+261</f>
        <v>395</v>
      </c>
      <c r="AG18" s="260">
        <v>341</v>
      </c>
      <c r="AH18" s="260">
        <v>342</v>
      </c>
      <c r="AI18" s="260">
        <v>330</v>
      </c>
      <c r="AJ18" s="260">
        <v>304</v>
      </c>
      <c r="AK18" s="260">
        <v>330</v>
      </c>
      <c r="AL18" s="260">
        <f>143+223</f>
        <v>366</v>
      </c>
      <c r="AM18" s="260">
        <v>381</v>
      </c>
      <c r="AN18" s="260">
        <v>378</v>
      </c>
      <c r="AO18" s="260">
        <v>458</v>
      </c>
      <c r="AP18" s="281">
        <v>383</v>
      </c>
      <c r="AQ18" s="281">
        <v>356</v>
      </c>
      <c r="AR18" s="281">
        <v>440</v>
      </c>
      <c r="AS18" s="421">
        <v>452</v>
      </c>
    </row>
    <row r="19" spans="1:121" s="246" customFormat="1" ht="5.0999999999999996" customHeight="1" x14ac:dyDescent="0.2">
      <c r="A19" s="226"/>
      <c r="B19" s="253"/>
      <c r="C19" s="253"/>
      <c r="D19" s="253"/>
      <c r="E19" s="253"/>
      <c r="F19" s="253"/>
      <c r="G19" s="253"/>
      <c r="H19" s="253"/>
      <c r="I19" s="253"/>
      <c r="J19" s="261"/>
      <c r="K19" s="261"/>
      <c r="L19" s="261"/>
      <c r="M19" s="261"/>
      <c r="N19" s="261"/>
      <c r="O19" s="261"/>
      <c r="P19" s="261"/>
      <c r="Q19" s="261"/>
      <c r="R19" s="261"/>
      <c r="S19" s="261"/>
      <c r="T19" s="261"/>
      <c r="U19" s="261"/>
      <c r="V19" s="261"/>
      <c r="W19" s="261"/>
      <c r="X19" s="261"/>
      <c r="Y19" s="261"/>
      <c r="Z19" s="261"/>
      <c r="AA19" s="261"/>
      <c r="AB19" s="261"/>
      <c r="AC19" s="261"/>
      <c r="AD19" s="261"/>
      <c r="AE19" s="261"/>
      <c r="AF19" s="261"/>
      <c r="AG19" s="261"/>
      <c r="AH19" s="261"/>
      <c r="AI19" s="261"/>
      <c r="AJ19" s="261"/>
      <c r="AK19" s="261"/>
      <c r="AL19" s="261"/>
      <c r="AM19" s="261"/>
      <c r="AN19" s="261"/>
      <c r="AO19" s="261"/>
      <c r="AP19" s="258"/>
      <c r="AQ19" s="258"/>
      <c r="AR19" s="258"/>
      <c r="AS19" s="578"/>
    </row>
    <row r="20" spans="1:121" s="178" customFormat="1" ht="15" customHeight="1" thickBot="1" x14ac:dyDescent="0.25">
      <c r="A20" s="175" t="s">
        <v>10</v>
      </c>
      <c r="B20" s="176">
        <f t="shared" ref="B20:O20" si="0">SUM(B10:B18)</f>
        <v>2458</v>
      </c>
      <c r="C20" s="176">
        <f t="shared" si="0"/>
        <v>2514</v>
      </c>
      <c r="D20" s="176">
        <f t="shared" si="0"/>
        <v>2661</v>
      </c>
      <c r="E20" s="176">
        <f t="shared" si="0"/>
        <v>2783</v>
      </c>
      <c r="F20" s="176">
        <f t="shared" si="0"/>
        <v>2691</v>
      </c>
      <c r="G20" s="176">
        <f t="shared" si="0"/>
        <v>2657</v>
      </c>
      <c r="H20" s="176">
        <f t="shared" si="0"/>
        <v>2698</v>
      </c>
      <c r="I20" s="176">
        <f t="shared" si="0"/>
        <v>2698</v>
      </c>
      <c r="J20" s="176">
        <f t="shared" si="0"/>
        <v>2723</v>
      </c>
      <c r="K20" s="176">
        <f t="shared" si="0"/>
        <v>2911</v>
      </c>
      <c r="L20" s="176">
        <f t="shared" si="0"/>
        <v>2857</v>
      </c>
      <c r="M20" s="176">
        <f t="shared" si="0"/>
        <v>3125</v>
      </c>
      <c r="N20" s="176">
        <f t="shared" si="0"/>
        <v>3124</v>
      </c>
      <c r="O20" s="176">
        <f t="shared" si="0"/>
        <v>3253</v>
      </c>
      <c r="P20" s="176">
        <f>SUM(P10:P18)+1</f>
        <v>3427</v>
      </c>
      <c r="Q20" s="176">
        <f t="shared" ref="Q20:AL20" si="1">SUM(Q10:Q18)</f>
        <v>3568</v>
      </c>
      <c r="R20" s="176">
        <f t="shared" si="1"/>
        <v>3510</v>
      </c>
      <c r="S20" s="176">
        <f t="shared" si="1"/>
        <v>3751</v>
      </c>
      <c r="T20" s="176">
        <f t="shared" si="1"/>
        <v>3876</v>
      </c>
      <c r="U20" s="176">
        <f t="shared" si="1"/>
        <v>4086</v>
      </c>
      <c r="V20" s="176">
        <f t="shared" si="1"/>
        <v>4118</v>
      </c>
      <c r="W20" s="176">
        <f t="shared" si="1"/>
        <v>4281</v>
      </c>
      <c r="X20" s="176">
        <f t="shared" si="1"/>
        <v>4438</v>
      </c>
      <c r="Y20" s="176">
        <f t="shared" si="1"/>
        <v>4675</v>
      </c>
      <c r="Z20" s="176">
        <f t="shared" si="1"/>
        <v>4598</v>
      </c>
      <c r="AA20" s="176">
        <f t="shared" si="1"/>
        <v>4983</v>
      </c>
      <c r="AB20" s="176">
        <f t="shared" si="1"/>
        <v>4977</v>
      </c>
      <c r="AC20" s="176">
        <f t="shared" si="1"/>
        <v>5227</v>
      </c>
      <c r="AD20" s="176">
        <f t="shared" si="1"/>
        <v>5283</v>
      </c>
      <c r="AE20" s="176">
        <f t="shared" si="1"/>
        <v>5328</v>
      </c>
      <c r="AF20" s="176">
        <f t="shared" si="1"/>
        <v>5639</v>
      </c>
      <c r="AG20" s="176">
        <f t="shared" si="1"/>
        <v>5839</v>
      </c>
      <c r="AH20" s="176">
        <f t="shared" si="1"/>
        <v>5744</v>
      </c>
      <c r="AI20" s="176">
        <f t="shared" si="1"/>
        <v>6118</v>
      </c>
      <c r="AJ20" s="176">
        <f t="shared" si="1"/>
        <v>6380</v>
      </c>
      <c r="AK20" s="176">
        <f t="shared" si="1"/>
        <v>6597</v>
      </c>
      <c r="AL20" s="176">
        <f t="shared" si="1"/>
        <v>6405</v>
      </c>
      <c r="AM20" s="176">
        <f t="shared" ref="AM20:AR20" si="2">SUM(AM10:AM18)</f>
        <v>6624</v>
      </c>
      <c r="AN20" s="176">
        <f t="shared" si="2"/>
        <v>7450</v>
      </c>
      <c r="AO20" s="176">
        <f t="shared" si="2"/>
        <v>7545</v>
      </c>
      <c r="AP20" s="176">
        <f t="shared" si="2"/>
        <v>7430</v>
      </c>
      <c r="AQ20" s="176">
        <f t="shared" si="2"/>
        <v>7496</v>
      </c>
      <c r="AR20" s="176">
        <f t="shared" si="2"/>
        <v>7822</v>
      </c>
      <c r="AS20" s="375">
        <f t="shared" ref="AS20" si="3">SUM(AS10:AS18)</f>
        <v>8061</v>
      </c>
      <c r="AT20" s="193"/>
      <c r="AU20" s="193"/>
      <c r="AV20" s="193"/>
      <c r="AW20" s="193"/>
      <c r="AX20" s="193"/>
      <c r="AY20" s="193"/>
      <c r="AZ20" s="193"/>
      <c r="BA20" s="193"/>
      <c r="BB20" s="193"/>
      <c r="BC20" s="193"/>
      <c r="BD20" s="193"/>
      <c r="BE20" s="193"/>
      <c r="BF20" s="193"/>
      <c r="BG20" s="193"/>
      <c r="BH20" s="193"/>
      <c r="BI20" s="193"/>
      <c r="BJ20" s="193"/>
      <c r="BK20" s="193"/>
      <c r="BL20" s="193"/>
      <c r="BM20" s="193"/>
      <c r="BN20" s="193"/>
      <c r="BO20" s="193"/>
      <c r="BP20" s="193"/>
      <c r="BQ20" s="193"/>
      <c r="BR20" s="193"/>
      <c r="BS20" s="193"/>
      <c r="BT20" s="193"/>
      <c r="BU20" s="193"/>
      <c r="BV20" s="193"/>
      <c r="BW20" s="193"/>
      <c r="BX20" s="193"/>
      <c r="BY20" s="193"/>
      <c r="BZ20" s="193"/>
      <c r="CA20" s="193"/>
      <c r="CB20" s="193"/>
      <c r="CC20" s="193"/>
      <c r="CD20" s="193"/>
      <c r="CE20" s="193"/>
      <c r="CF20" s="193"/>
      <c r="CG20" s="193"/>
      <c r="CH20" s="193"/>
      <c r="CI20" s="193"/>
      <c r="CJ20" s="193"/>
      <c r="CK20" s="193"/>
      <c r="CL20" s="193"/>
      <c r="CM20" s="193"/>
      <c r="CN20" s="193"/>
      <c r="CO20" s="193"/>
      <c r="CP20" s="193"/>
      <c r="CQ20" s="193"/>
      <c r="CR20" s="193"/>
      <c r="CS20" s="193"/>
      <c r="CT20" s="193"/>
      <c r="CU20" s="193"/>
      <c r="CV20" s="193"/>
      <c r="CW20" s="193"/>
      <c r="CX20" s="193"/>
      <c r="CY20" s="193"/>
      <c r="CZ20" s="193"/>
      <c r="DA20" s="193"/>
      <c r="DB20" s="193"/>
      <c r="DC20" s="193"/>
      <c r="DD20" s="193"/>
      <c r="DE20" s="193"/>
      <c r="DF20" s="193"/>
      <c r="DG20" s="193"/>
      <c r="DH20" s="193"/>
      <c r="DI20" s="193"/>
      <c r="DJ20" s="193"/>
      <c r="DK20" s="193"/>
      <c r="DL20" s="193"/>
      <c r="DM20" s="193"/>
      <c r="DN20" s="193"/>
      <c r="DO20" s="193"/>
      <c r="DP20" s="193"/>
      <c r="DQ20" s="193"/>
    </row>
    <row r="21" spans="1:121" customFormat="1" ht="15" customHeight="1" thickTop="1" x14ac:dyDescent="0.2"/>
    <row r="22" spans="1:121" customFormat="1" ht="15" customHeight="1" x14ac:dyDescent="0.2"/>
    <row r="23" spans="1:121" customFormat="1" ht="15" customHeight="1" x14ac:dyDescent="0.2"/>
    <row r="24" spans="1:121" customFormat="1" ht="15" customHeight="1" x14ac:dyDescent="0.2"/>
    <row r="25" spans="1:121" customFormat="1" ht="15" customHeight="1" x14ac:dyDescent="0.2"/>
    <row r="26" spans="1:121" customFormat="1" ht="15" customHeight="1" x14ac:dyDescent="0.2"/>
    <row r="27" spans="1:121" customFormat="1" ht="15" customHeight="1" x14ac:dyDescent="0.2"/>
    <row r="28" spans="1:121" customFormat="1" ht="15" customHeight="1" x14ac:dyDescent="0.2"/>
    <row r="29" spans="1:121" customFormat="1" ht="15" customHeight="1" x14ac:dyDescent="0.2"/>
    <row r="30" spans="1:121" customFormat="1" ht="15" customHeight="1" x14ac:dyDescent="0.2"/>
    <row r="31" spans="1:121" customFormat="1" ht="15" customHeight="1" x14ac:dyDescent="0.2"/>
    <row r="32" spans="1:121" customFormat="1" ht="15" customHeight="1" x14ac:dyDescent="0.2"/>
    <row r="33" customFormat="1" ht="15" customHeight="1" x14ac:dyDescent="0.2"/>
    <row r="34" customFormat="1" ht="15" customHeight="1" x14ac:dyDescent="0.2"/>
    <row r="35" customFormat="1" ht="15" customHeight="1" x14ac:dyDescent="0.2"/>
    <row r="36" customFormat="1" ht="15" customHeight="1" x14ac:dyDescent="0.2"/>
    <row r="37" customFormat="1" ht="15" customHeight="1" x14ac:dyDescent="0.2"/>
    <row r="38" customFormat="1" ht="15" customHeight="1" x14ac:dyDescent="0.2"/>
    <row r="39" customFormat="1" ht="15" customHeight="1" x14ac:dyDescent="0.2"/>
    <row r="40" customFormat="1" ht="15" customHeight="1" x14ac:dyDescent="0.2"/>
    <row r="41" customFormat="1" ht="15" customHeight="1" x14ac:dyDescent="0.2"/>
    <row r="42" customFormat="1" ht="15" customHeight="1" x14ac:dyDescent="0.2"/>
    <row r="43" customFormat="1" ht="15" customHeight="1" x14ac:dyDescent="0.2"/>
    <row r="44" customFormat="1" ht="15" customHeight="1" x14ac:dyDescent="0.2"/>
    <row r="45" customFormat="1" ht="15" customHeight="1" x14ac:dyDescent="0.2"/>
    <row r="46" customFormat="1" ht="15" customHeight="1" x14ac:dyDescent="0.2"/>
    <row r="47" customFormat="1" ht="15" customHeight="1" x14ac:dyDescent="0.2"/>
    <row r="48" customFormat="1" ht="15" customHeight="1" x14ac:dyDescent="0.2"/>
    <row r="49" customFormat="1" ht="15" customHeight="1" x14ac:dyDescent="0.2"/>
    <row r="50" customFormat="1" ht="15" customHeight="1" x14ac:dyDescent="0.2"/>
    <row r="51" customFormat="1" ht="15" customHeight="1" x14ac:dyDescent="0.2"/>
    <row r="52" customFormat="1" ht="15" customHeight="1" x14ac:dyDescent="0.2"/>
    <row r="53" customFormat="1" ht="15" customHeight="1" x14ac:dyDescent="0.2"/>
    <row r="54" customFormat="1" ht="15" customHeight="1" x14ac:dyDescent="0.2"/>
    <row r="55" customFormat="1" ht="15" customHeight="1" x14ac:dyDescent="0.2"/>
    <row r="56" customFormat="1" ht="15" customHeight="1" x14ac:dyDescent="0.2"/>
    <row r="57" customFormat="1" ht="15" customHeight="1" x14ac:dyDescent="0.2"/>
    <row r="58" customFormat="1" ht="15" customHeight="1" x14ac:dyDescent="0.2"/>
    <row r="59" customFormat="1" ht="15" customHeight="1" x14ac:dyDescent="0.2"/>
    <row r="60" customFormat="1" ht="15" customHeight="1" x14ac:dyDescent="0.2"/>
    <row r="61" customFormat="1" ht="15" customHeight="1" x14ac:dyDescent="0.2"/>
    <row r="62" customFormat="1" ht="15" customHeight="1" x14ac:dyDescent="0.2"/>
    <row r="63" customFormat="1" ht="15" customHeight="1" x14ac:dyDescent="0.2"/>
    <row r="64" customFormat="1" ht="15" customHeight="1" x14ac:dyDescent="0.2"/>
    <row r="65" customFormat="1" ht="15" customHeight="1" x14ac:dyDescent="0.2"/>
    <row r="66" customFormat="1" ht="15" customHeight="1" x14ac:dyDescent="0.2"/>
    <row r="67" customFormat="1" ht="15" customHeight="1" x14ac:dyDescent="0.2"/>
    <row r="68" customFormat="1" ht="15" customHeight="1" x14ac:dyDescent="0.2"/>
    <row r="69" customFormat="1" ht="15" customHeight="1" x14ac:dyDescent="0.2"/>
    <row r="70" customFormat="1" ht="15" customHeight="1" x14ac:dyDescent="0.2"/>
    <row r="71" customFormat="1" ht="15" customHeight="1" x14ac:dyDescent="0.2"/>
    <row r="72" customFormat="1" ht="15" customHeight="1" x14ac:dyDescent="0.2"/>
    <row r="73" customFormat="1" ht="15" customHeight="1" x14ac:dyDescent="0.2"/>
    <row r="74" customFormat="1" ht="15" customHeight="1" x14ac:dyDescent="0.2"/>
    <row r="75" customFormat="1" ht="15" customHeight="1" x14ac:dyDescent="0.2"/>
    <row r="76" customFormat="1" ht="15" customHeight="1" x14ac:dyDescent="0.2"/>
    <row r="77" customFormat="1" ht="15" customHeight="1" x14ac:dyDescent="0.2"/>
    <row r="78" customFormat="1" ht="15" customHeight="1" x14ac:dyDescent="0.2"/>
    <row r="79" customFormat="1" ht="15" customHeight="1" x14ac:dyDescent="0.2"/>
    <row r="80" customFormat="1" ht="15" customHeight="1" x14ac:dyDescent="0.2"/>
    <row r="81" customFormat="1" ht="15" customHeight="1" x14ac:dyDescent="0.2"/>
    <row r="82" customFormat="1" ht="15" customHeight="1" x14ac:dyDescent="0.2"/>
    <row r="83" customFormat="1" ht="15" customHeight="1" x14ac:dyDescent="0.2"/>
    <row r="84" customFormat="1" ht="15" customHeight="1" x14ac:dyDescent="0.2"/>
    <row r="85" customFormat="1" ht="15" customHeight="1" x14ac:dyDescent="0.2"/>
    <row r="86" customFormat="1" ht="15" customHeight="1" x14ac:dyDescent="0.2"/>
    <row r="87" customFormat="1" ht="15" customHeight="1" x14ac:dyDescent="0.2"/>
    <row r="88" customFormat="1" ht="15" customHeight="1" x14ac:dyDescent="0.2"/>
    <row r="89" customFormat="1" ht="15" customHeight="1" x14ac:dyDescent="0.2"/>
    <row r="90" customFormat="1" ht="15" customHeight="1" x14ac:dyDescent="0.2"/>
    <row r="91" customFormat="1" ht="15" customHeight="1" x14ac:dyDescent="0.2"/>
    <row r="92" customFormat="1" ht="15" customHeight="1" x14ac:dyDescent="0.2"/>
    <row r="93" customFormat="1" ht="15" customHeight="1" x14ac:dyDescent="0.2"/>
    <row r="94" customFormat="1" ht="15" customHeight="1" x14ac:dyDescent="0.2"/>
    <row r="95" customFormat="1" ht="15" customHeight="1" x14ac:dyDescent="0.2"/>
    <row r="96" customFormat="1" ht="15" customHeight="1" x14ac:dyDescent="0.2"/>
    <row r="97" customFormat="1" ht="15" customHeight="1" x14ac:dyDescent="0.2"/>
    <row r="98" customFormat="1" ht="15" customHeight="1" x14ac:dyDescent="0.2"/>
    <row r="99" customFormat="1" ht="15" customHeight="1" x14ac:dyDescent="0.2"/>
    <row r="100" customFormat="1" ht="15" customHeight="1" x14ac:dyDescent="0.2"/>
    <row r="101" customFormat="1" ht="15" customHeight="1" x14ac:dyDescent="0.2"/>
    <row r="102" customFormat="1" ht="15" customHeight="1" x14ac:dyDescent="0.2"/>
    <row r="103" customFormat="1" ht="15" customHeight="1" x14ac:dyDescent="0.2"/>
    <row r="104" customFormat="1" ht="15" customHeight="1" x14ac:dyDescent="0.2"/>
    <row r="105" customFormat="1" ht="15" customHeight="1" x14ac:dyDescent="0.2"/>
    <row r="106" customFormat="1" ht="15" customHeight="1" x14ac:dyDescent="0.2"/>
    <row r="107" customFormat="1" ht="15" customHeight="1" x14ac:dyDescent="0.2"/>
    <row r="108" customFormat="1" ht="15" customHeight="1" x14ac:dyDescent="0.2"/>
    <row r="109" customFormat="1" ht="15" customHeight="1" x14ac:dyDescent="0.2"/>
    <row r="110" customFormat="1" ht="15" customHeight="1" x14ac:dyDescent="0.2"/>
    <row r="111" customFormat="1" ht="15" customHeight="1" x14ac:dyDescent="0.2"/>
    <row r="112" customFormat="1" ht="15" customHeight="1" x14ac:dyDescent="0.2"/>
    <row r="113" customFormat="1" ht="15" customHeight="1" x14ac:dyDescent="0.2"/>
    <row r="114" customFormat="1" ht="15" customHeight="1" x14ac:dyDescent="0.2"/>
    <row r="115" customFormat="1" ht="15" customHeight="1" x14ac:dyDescent="0.2"/>
    <row r="116" customFormat="1" ht="15" customHeight="1" x14ac:dyDescent="0.2"/>
  </sheetData>
  <customSheetViews>
    <customSheetView guid="{B7440494-8EA9-4463-9947-E5D20E74049D}" showGridLines="0">
      <pane xSplit="1" ySplit="10" topLeftCell="AD11" activePane="bottomRight" state="frozen"/>
      <selection pane="bottomRight" activeCell="AH17" sqref="AH17"/>
      <colBreaks count="4" manualBreakCount="4">
        <brk id="9" min="1" max="21" man="1"/>
        <brk id="17" min="1" max="21" man="1"/>
        <brk id="25" min="1" max="21" man="1"/>
        <brk id="33" min="1" max="21" man="1"/>
      </colBreaks>
      <pageMargins left="0" right="0" top="1.1811023622047245" bottom="0" header="0" footer="0"/>
      <printOptions horizontalCentered="1"/>
      <pageSetup paperSize="9" scale="104" orientation="landscape" horizontalDpi="1200" verticalDpi="1200" r:id="rId1"/>
      <headerFooter alignWithMargins="0">
        <oddHeader>&amp;R&amp;P/&amp;N</oddHeader>
      </headerFooter>
    </customSheetView>
    <customSheetView guid="{6D89F6EF-F5AD-478F-979A-5AF1BC78EF91}" showGridLines="0">
      <pane xSplit="2" ySplit="9" topLeftCell="C10" activePane="bottomRight" state="frozen"/>
      <selection pane="bottomRight" activeCell="C10" sqref="C10"/>
      <colBreaks count="2" manualBreakCount="2">
        <brk id="25" max="31" man="1"/>
        <brk id="41" max="31" man="1"/>
      </colBreaks>
      <pageMargins left="0" right="0" top="1.1811023622047245" bottom="0" header="0" footer="0"/>
      <printOptions horizontalCentered="1"/>
      <pageSetup paperSize="9" orientation="landscape" horizontalDpi="1200" verticalDpi="1200" r:id="rId2"/>
      <headerFooter alignWithMargins="0"/>
    </customSheetView>
    <customSheetView guid="{A9134056-6B1C-4A42-AFE9-9712EF3EF3D4}" showPageBreaks="1" showGridLines="0" printArea="1">
      <pane xSplit="2" ySplit="9" topLeftCell="C10" activePane="bottomRight" state="frozen"/>
      <selection pane="bottomRight" activeCell="C10" sqref="C10"/>
      <colBreaks count="4" manualBreakCount="4">
        <brk id="10" min="1" max="32" man="1"/>
        <brk id="19" min="1" max="32" man="1"/>
        <brk id="25" max="31" man="1"/>
        <brk id="41" max="31" man="1"/>
      </colBreaks>
      <pageMargins left="0" right="0" top="1.1811023622047245" bottom="0" header="0" footer="0"/>
      <printOptions horizontalCentered="1"/>
      <pageSetup paperSize="9" orientation="landscape" horizontalDpi="1200" verticalDpi="1200" r:id="rId3"/>
      <headerFooter alignWithMargins="0"/>
    </customSheetView>
  </customSheetViews>
  <hyperlinks>
    <hyperlink ref="AS6" location="Índex!E9" display="Índex"/>
  </hyperlinks>
  <printOptions horizontalCentered="1"/>
  <pageMargins left="0" right="0" top="0.39370078740157483" bottom="0" header="0" footer="0"/>
  <pageSetup paperSize="9" orientation="landscape" horizontalDpi="1200" verticalDpi="1200" r:id="rId4"/>
  <headerFooter alignWithMargins="0">
    <oddHeader>&amp;R&amp;P/&amp;N</oddHeader>
  </headerFooter>
  <colBreaks count="5" manualBreakCount="5">
    <brk id="9" min="1" max="21" man="1"/>
    <brk id="17" min="1" max="21" man="1"/>
    <brk id="25" min="1" max="21" man="1"/>
    <brk id="33" min="1" max="21" man="1"/>
    <brk id="41" min="1" max="21" man="1"/>
  </colBreaks>
  <drawing r:id="rId5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9"/>
  <dimension ref="A1:DQ119"/>
  <sheetViews>
    <sheetView showGridLines="0" zoomScaleNormal="100" workbookViewId="0">
      <pane xSplit="1" ySplit="8" topLeftCell="AG9" activePane="bottomRight" state="frozen"/>
      <selection activeCell="E9" sqref="E9"/>
      <selection pane="topRight" activeCell="E9" sqref="E9"/>
      <selection pane="bottomLeft" activeCell="E9" sqref="E9"/>
      <selection pane="bottomRight" activeCell="E9" sqref="E9"/>
    </sheetView>
  </sheetViews>
  <sheetFormatPr defaultColWidth="10.28515625" defaultRowHeight="15" customHeight="1" x14ac:dyDescent="0.2"/>
  <cols>
    <col min="1" max="1" width="45.85546875" style="1" bestFit="1" customWidth="1"/>
    <col min="2" max="37" width="10.7109375" style="1" customWidth="1"/>
    <col min="38" max="16384" width="10.28515625" style="1"/>
  </cols>
  <sheetData>
    <row r="1" spans="1:93" s="25" customFormat="1" ht="15" customHeight="1" x14ac:dyDescent="0.2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2"/>
      <c r="AW1" s="62"/>
      <c r="AX1" s="62"/>
      <c r="AY1" s="62"/>
      <c r="AZ1" s="62"/>
      <c r="BA1" s="62"/>
      <c r="BB1" s="62"/>
      <c r="BC1" s="62"/>
      <c r="BD1" s="62"/>
      <c r="BE1" s="62"/>
      <c r="BF1" s="62"/>
      <c r="BG1" s="62"/>
      <c r="BH1" s="62"/>
      <c r="BI1" s="62"/>
      <c r="BJ1" s="56"/>
      <c r="BK1" s="56"/>
      <c r="BL1" s="56"/>
      <c r="BM1" s="56"/>
      <c r="BN1" s="56"/>
      <c r="BO1" s="56"/>
      <c r="BP1" s="56"/>
      <c r="BQ1" s="56"/>
      <c r="BR1" s="56"/>
      <c r="BS1" s="56"/>
      <c r="BT1" s="56"/>
      <c r="BU1" s="56"/>
    </row>
    <row r="2" spans="1:93" s="25" customFormat="1" ht="15" customHeight="1" x14ac:dyDescent="0.25">
      <c r="A2" s="56"/>
      <c r="B2" s="199"/>
      <c r="C2" s="56"/>
      <c r="D2" s="56"/>
      <c r="E2" s="216"/>
      <c r="F2" s="216"/>
      <c r="G2" s="216"/>
      <c r="H2" s="56"/>
      <c r="I2" s="56"/>
      <c r="J2" s="56"/>
      <c r="K2" s="21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  <c r="BM2" s="56"/>
      <c r="BN2" s="56"/>
      <c r="BO2" s="56"/>
      <c r="BP2" s="56"/>
      <c r="BQ2" s="56"/>
      <c r="BR2" s="56"/>
      <c r="BS2" s="56"/>
      <c r="BT2" s="56"/>
      <c r="BU2" s="56"/>
    </row>
    <row r="3" spans="1:93" s="25" customFormat="1" ht="15" customHeight="1" x14ac:dyDescent="0.25">
      <c r="A3" s="57"/>
      <c r="B3" s="57"/>
      <c r="C3" s="61"/>
      <c r="D3" s="57"/>
      <c r="E3" s="217"/>
      <c r="F3" s="217"/>
      <c r="G3" s="217"/>
      <c r="H3" s="57"/>
      <c r="I3" s="57"/>
      <c r="J3" s="57"/>
      <c r="K3" s="21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7"/>
      <c r="BT3" s="57"/>
      <c r="BU3" s="57"/>
    </row>
    <row r="4" spans="1:93" s="25" customFormat="1" ht="15" customHeight="1" x14ac:dyDescent="0.2">
      <c r="A4" s="58"/>
      <c r="B4" s="58"/>
      <c r="C4" s="58"/>
      <c r="D4" s="58"/>
      <c r="E4" s="218"/>
      <c r="F4" s="218"/>
      <c r="G4" s="218"/>
      <c r="H4" s="58"/>
      <c r="I4" s="58"/>
      <c r="J4" s="58"/>
      <c r="K4" s="21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  <c r="CG4" s="198"/>
      <c r="CH4" s="198"/>
      <c r="CI4" s="198"/>
      <c r="CJ4" s="198"/>
      <c r="CK4" s="198"/>
      <c r="CL4" s="198"/>
      <c r="CM4" s="198"/>
      <c r="CN4" s="198"/>
      <c r="CO4" s="198"/>
    </row>
    <row r="5" spans="1:93" s="25" customFormat="1" ht="19.5" thickBot="1" x14ac:dyDescent="0.35">
      <c r="A5" s="190" t="s">
        <v>551</v>
      </c>
      <c r="B5" s="61"/>
      <c r="C5" s="59"/>
      <c r="D5" s="61"/>
      <c r="E5" s="59"/>
      <c r="F5" s="114"/>
      <c r="G5" s="59"/>
      <c r="H5" s="112"/>
      <c r="I5" s="59"/>
      <c r="J5" s="59"/>
      <c r="K5" s="59"/>
      <c r="L5" s="59"/>
      <c r="M5" s="59"/>
      <c r="N5" s="59"/>
      <c r="O5" s="59"/>
      <c r="P5" s="59"/>
      <c r="Q5" s="59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59"/>
      <c r="BR5" s="59"/>
      <c r="BS5" s="59"/>
      <c r="BT5" s="59"/>
      <c r="BU5" s="59"/>
      <c r="BW5" s="114"/>
      <c r="CA5" s="114"/>
      <c r="CC5" s="134"/>
      <c r="CF5" s="65"/>
      <c r="CG5" s="194"/>
      <c r="CH5" s="194"/>
      <c r="CI5" s="194"/>
      <c r="CJ5" s="225"/>
      <c r="CK5" s="194"/>
      <c r="CL5" s="194"/>
      <c r="CM5" s="194"/>
      <c r="CN5" s="194"/>
      <c r="CO5" s="198"/>
    </row>
    <row r="6" spans="1:93" s="236" customFormat="1" ht="15" customHeight="1" thickTop="1" x14ac:dyDescent="0.2">
      <c r="A6" s="234"/>
      <c r="B6" s="234"/>
      <c r="C6" s="235"/>
      <c r="D6" s="235"/>
      <c r="E6" s="235"/>
      <c r="AL6" s="133"/>
      <c r="AN6" s="133"/>
      <c r="AO6" s="133"/>
      <c r="AP6" s="400"/>
      <c r="AQ6" s="400"/>
      <c r="AR6" s="400"/>
      <c r="AS6" s="400" t="s">
        <v>662</v>
      </c>
    </row>
    <row r="7" spans="1:93" s="183" customFormat="1" ht="15" customHeight="1" x14ac:dyDescent="0.2">
      <c r="A7" s="182"/>
      <c r="B7" s="664" t="s">
        <v>401</v>
      </c>
      <c r="C7" s="664" t="s">
        <v>402</v>
      </c>
      <c r="D7" s="664" t="s">
        <v>403</v>
      </c>
      <c r="E7" s="664" t="s">
        <v>404</v>
      </c>
      <c r="F7" s="664" t="s">
        <v>405</v>
      </c>
      <c r="G7" s="664" t="s">
        <v>406</v>
      </c>
      <c r="H7" s="664" t="s">
        <v>407</v>
      </c>
      <c r="I7" s="664" t="s">
        <v>408</v>
      </c>
      <c r="J7" s="664" t="s">
        <v>409</v>
      </c>
      <c r="K7" s="664" t="s">
        <v>410</v>
      </c>
      <c r="L7" s="664" t="s">
        <v>411</v>
      </c>
      <c r="M7" s="664" t="s">
        <v>412</v>
      </c>
      <c r="N7" s="664" t="s">
        <v>413</v>
      </c>
      <c r="O7" s="664" t="s">
        <v>414</v>
      </c>
      <c r="P7" s="664" t="s">
        <v>415</v>
      </c>
      <c r="Q7" s="664" t="s">
        <v>416</v>
      </c>
      <c r="R7" s="664" t="s">
        <v>417</v>
      </c>
      <c r="S7" s="664" t="s">
        <v>418</v>
      </c>
      <c r="T7" s="664" t="s">
        <v>419</v>
      </c>
      <c r="U7" s="664" t="s">
        <v>420</v>
      </c>
      <c r="V7" s="664" t="s">
        <v>421</v>
      </c>
      <c r="W7" s="664" t="s">
        <v>422</v>
      </c>
      <c r="X7" s="664" t="s">
        <v>423</v>
      </c>
      <c r="Y7" s="664" t="s">
        <v>424</v>
      </c>
      <c r="Z7" s="664" t="s">
        <v>425</v>
      </c>
      <c r="AA7" s="664" t="s">
        <v>426</v>
      </c>
      <c r="AB7" s="664" t="s">
        <v>427</v>
      </c>
      <c r="AC7" s="664" t="s">
        <v>428</v>
      </c>
      <c r="AD7" s="664" t="s">
        <v>429</v>
      </c>
      <c r="AE7" s="664" t="s">
        <v>430</v>
      </c>
      <c r="AF7" s="664" t="s">
        <v>431</v>
      </c>
      <c r="AG7" s="664" t="s">
        <v>432</v>
      </c>
      <c r="AH7" s="664" t="s">
        <v>433</v>
      </c>
      <c r="AI7" s="664" t="s">
        <v>434</v>
      </c>
      <c r="AJ7" s="664" t="s">
        <v>543</v>
      </c>
      <c r="AK7" s="664" t="s">
        <v>435</v>
      </c>
      <c r="AL7" s="664" t="s">
        <v>436</v>
      </c>
      <c r="AM7" s="664" t="s">
        <v>437</v>
      </c>
      <c r="AN7" s="664" t="s">
        <v>438</v>
      </c>
      <c r="AO7" s="664" t="s">
        <v>450</v>
      </c>
      <c r="AP7" s="664" t="s">
        <v>451</v>
      </c>
      <c r="AQ7" s="664" t="s">
        <v>452</v>
      </c>
      <c r="AR7" s="664" t="s">
        <v>453</v>
      </c>
      <c r="AS7" s="664" t="s">
        <v>454</v>
      </c>
      <c r="CC7" s="243"/>
    </row>
    <row r="8" spans="1:93" s="178" customFormat="1" ht="9.9499999999999993" customHeight="1" x14ac:dyDescent="0.2">
      <c r="A8" s="233"/>
      <c r="B8" s="233"/>
      <c r="C8" s="233"/>
      <c r="D8" s="233"/>
      <c r="E8" s="233"/>
      <c r="F8" s="233"/>
      <c r="G8" s="233"/>
      <c r="H8" s="233"/>
      <c r="I8" s="233"/>
      <c r="J8" s="233"/>
      <c r="K8" s="233"/>
      <c r="L8" s="233"/>
      <c r="M8" s="233"/>
      <c r="N8" s="233"/>
      <c r="O8" s="233"/>
      <c r="P8" s="233"/>
      <c r="Q8" s="233"/>
      <c r="R8" s="233"/>
      <c r="S8" s="233"/>
      <c r="T8" s="233"/>
      <c r="U8" s="233"/>
      <c r="V8" s="233"/>
      <c r="W8" s="233"/>
      <c r="X8" s="233"/>
      <c r="Y8" s="233"/>
      <c r="Z8" s="233"/>
      <c r="AA8" s="233"/>
      <c r="AB8" s="233"/>
      <c r="AC8" s="233"/>
      <c r="AD8" s="233"/>
      <c r="AE8" s="233"/>
      <c r="AF8" s="233"/>
      <c r="AG8" s="233"/>
      <c r="AH8" s="233"/>
      <c r="AI8" s="233"/>
      <c r="AJ8" s="233"/>
      <c r="AK8" s="233"/>
      <c r="AL8" s="233"/>
      <c r="AM8" s="233"/>
      <c r="AN8" s="233"/>
      <c r="AO8" s="233"/>
      <c r="AP8" s="233"/>
      <c r="AQ8" s="233"/>
      <c r="AR8" s="233"/>
      <c r="AS8" s="233"/>
      <c r="AT8" s="191"/>
      <c r="AU8" s="191"/>
      <c r="AV8" s="191"/>
      <c r="AW8" s="191"/>
      <c r="AX8" s="191"/>
      <c r="AY8" s="191"/>
      <c r="AZ8" s="191"/>
      <c r="BA8" s="191"/>
      <c r="BB8" s="191"/>
      <c r="BC8" s="191"/>
      <c r="BD8" s="191"/>
      <c r="BE8" s="191"/>
      <c r="BF8" s="191"/>
      <c r="BG8" s="191"/>
      <c r="BH8" s="191"/>
      <c r="BI8" s="191"/>
      <c r="BJ8" s="191"/>
      <c r="BK8" s="191"/>
      <c r="BL8" s="191"/>
      <c r="BM8" s="191"/>
      <c r="BN8" s="191"/>
      <c r="BO8" s="191"/>
      <c r="BP8" s="191"/>
      <c r="BQ8" s="191"/>
      <c r="BR8" s="191"/>
      <c r="BS8" s="191"/>
      <c r="BT8" s="191"/>
      <c r="BU8" s="191"/>
      <c r="BV8" s="191"/>
      <c r="BW8" s="191"/>
      <c r="BX8" s="191"/>
      <c r="BY8" s="191"/>
      <c r="BZ8" s="191"/>
      <c r="CA8" s="191"/>
      <c r="CB8" s="191"/>
      <c r="CC8" s="191"/>
      <c r="CD8" s="191"/>
    </row>
    <row r="9" spans="1:93" s="178" customFormat="1" ht="5.0999999999999996" customHeight="1" x14ac:dyDescent="0.2">
      <c r="A9" s="248"/>
      <c r="B9" s="203"/>
      <c r="C9" s="203"/>
      <c r="D9" s="203"/>
      <c r="E9" s="203"/>
      <c r="F9" s="203"/>
      <c r="G9" s="203"/>
      <c r="H9" s="203"/>
      <c r="I9" s="203"/>
      <c r="J9" s="203"/>
      <c r="K9" s="203"/>
      <c r="L9" s="203"/>
      <c r="M9" s="203"/>
      <c r="N9" s="203"/>
      <c r="O9" s="203"/>
      <c r="P9" s="203"/>
      <c r="Q9" s="203"/>
      <c r="R9" s="203"/>
      <c r="S9" s="203"/>
      <c r="T9" s="203"/>
      <c r="U9" s="203"/>
      <c r="V9" s="203"/>
      <c r="W9" s="203"/>
      <c r="X9" s="203"/>
      <c r="Y9" s="203"/>
      <c r="Z9" s="203"/>
      <c r="AA9" s="203"/>
      <c r="AB9" s="203"/>
      <c r="AC9" s="203"/>
      <c r="AD9" s="203"/>
      <c r="AE9" s="203"/>
      <c r="AF9" s="203"/>
      <c r="AG9" s="203"/>
      <c r="AH9" s="203"/>
      <c r="AI9" s="203"/>
      <c r="AJ9" s="203"/>
      <c r="AK9" s="203"/>
      <c r="AL9" s="203"/>
      <c r="AM9" s="203"/>
      <c r="AN9" s="203"/>
      <c r="AO9" s="203"/>
      <c r="AP9" s="203"/>
      <c r="AQ9" s="203"/>
      <c r="AR9" s="203"/>
      <c r="AS9" s="203"/>
      <c r="AT9" s="203"/>
      <c r="AU9" s="203"/>
      <c r="AV9" s="203"/>
      <c r="AW9" s="203"/>
      <c r="AX9" s="203"/>
      <c r="AY9" s="203"/>
      <c r="AZ9" s="203"/>
      <c r="BA9" s="203"/>
      <c r="BB9" s="203"/>
      <c r="BC9" s="203"/>
      <c r="BD9" s="203"/>
      <c r="BE9" s="203"/>
      <c r="BF9" s="203"/>
      <c r="BG9" s="203"/>
      <c r="BH9" s="203"/>
      <c r="BI9" s="203"/>
      <c r="BJ9" s="203"/>
      <c r="BK9" s="203"/>
      <c r="BL9" s="203"/>
      <c r="BM9" s="203"/>
      <c r="BN9" s="203"/>
      <c r="BO9" s="203"/>
      <c r="BP9" s="203"/>
      <c r="BQ9" s="203"/>
      <c r="BR9" s="203"/>
      <c r="BS9" s="203"/>
      <c r="BT9" s="203"/>
      <c r="BU9" s="203"/>
      <c r="BV9" s="203"/>
      <c r="BW9" s="203"/>
      <c r="BX9" s="203"/>
      <c r="BY9" s="203"/>
      <c r="BZ9" s="203"/>
      <c r="CA9" s="203"/>
      <c r="CB9" s="203"/>
      <c r="CC9" s="203"/>
      <c r="CD9" s="203"/>
    </row>
    <row r="10" spans="1:93" s="232" customFormat="1" ht="15" customHeight="1" x14ac:dyDescent="0.2">
      <c r="A10" s="229" t="s">
        <v>124</v>
      </c>
      <c r="B10" s="256">
        <f t="shared" ref="B10:AL10" si="0">SUM(B11:B12)</f>
        <v>1279</v>
      </c>
      <c r="C10" s="256">
        <f t="shared" si="0"/>
        <v>1350</v>
      </c>
      <c r="D10" s="256">
        <f t="shared" si="0"/>
        <v>1421</v>
      </c>
      <c r="E10" s="256">
        <f t="shared" si="0"/>
        <v>1432</v>
      </c>
      <c r="F10" s="256">
        <f t="shared" si="0"/>
        <v>1437</v>
      </c>
      <c r="G10" s="256">
        <f t="shared" si="0"/>
        <v>1476</v>
      </c>
      <c r="H10" s="256">
        <f t="shared" si="0"/>
        <v>1576</v>
      </c>
      <c r="I10" s="256">
        <f t="shared" si="0"/>
        <v>1623</v>
      </c>
      <c r="J10" s="256">
        <f t="shared" si="0"/>
        <v>1588</v>
      </c>
      <c r="K10" s="256">
        <f t="shared" si="0"/>
        <v>1636</v>
      </c>
      <c r="L10" s="256">
        <f t="shared" si="0"/>
        <v>1668</v>
      </c>
      <c r="M10" s="256">
        <f t="shared" si="0"/>
        <v>1725</v>
      </c>
      <c r="N10" s="256">
        <f t="shared" si="0"/>
        <v>1735</v>
      </c>
      <c r="O10" s="256">
        <f t="shared" si="0"/>
        <v>1831</v>
      </c>
      <c r="P10" s="256">
        <f t="shared" si="0"/>
        <v>1945</v>
      </c>
      <c r="Q10" s="256">
        <f t="shared" si="0"/>
        <v>2006</v>
      </c>
      <c r="R10" s="256">
        <f t="shared" si="0"/>
        <v>1996</v>
      </c>
      <c r="S10" s="256">
        <f t="shared" si="0"/>
        <v>2101</v>
      </c>
      <c r="T10" s="256">
        <f t="shared" si="0"/>
        <v>2288</v>
      </c>
      <c r="U10" s="256">
        <f t="shared" si="0"/>
        <v>2416</v>
      </c>
      <c r="V10" s="256">
        <f t="shared" si="0"/>
        <v>2351</v>
      </c>
      <c r="W10" s="256">
        <f t="shared" si="0"/>
        <v>2436</v>
      </c>
      <c r="X10" s="256">
        <f t="shared" si="0"/>
        <v>2548</v>
      </c>
      <c r="Y10" s="256">
        <f t="shared" si="0"/>
        <v>2569</v>
      </c>
      <c r="Z10" s="256">
        <f t="shared" si="0"/>
        <v>2490</v>
      </c>
      <c r="AA10" s="256">
        <f t="shared" si="0"/>
        <v>2563</v>
      </c>
      <c r="AB10" s="256">
        <f t="shared" si="0"/>
        <v>2690</v>
      </c>
      <c r="AC10" s="256">
        <f t="shared" si="0"/>
        <v>2732</v>
      </c>
      <c r="AD10" s="256">
        <f t="shared" si="0"/>
        <v>2647</v>
      </c>
      <c r="AE10" s="256">
        <f t="shared" si="0"/>
        <v>2727</v>
      </c>
      <c r="AF10" s="256">
        <f t="shared" si="0"/>
        <v>2877</v>
      </c>
      <c r="AG10" s="256">
        <f t="shared" si="0"/>
        <v>2933</v>
      </c>
      <c r="AH10" s="256">
        <f t="shared" si="0"/>
        <v>2813</v>
      </c>
      <c r="AI10" s="256">
        <f t="shared" si="0"/>
        <v>2895</v>
      </c>
      <c r="AJ10" s="256">
        <f t="shared" si="0"/>
        <v>3118</v>
      </c>
      <c r="AK10" s="256">
        <f t="shared" si="0"/>
        <v>3159</v>
      </c>
      <c r="AL10" s="256">
        <f t="shared" si="0"/>
        <v>3025</v>
      </c>
      <c r="AM10" s="256">
        <f t="shared" ref="AM10:AR10" si="1">SUM(AM11:AM12)</f>
        <v>3016</v>
      </c>
      <c r="AN10" s="256">
        <f t="shared" si="1"/>
        <v>4079</v>
      </c>
      <c r="AO10" s="256">
        <f t="shared" si="1"/>
        <v>4257</v>
      </c>
      <c r="AP10" s="256">
        <f t="shared" si="1"/>
        <v>3946</v>
      </c>
      <c r="AQ10" s="256">
        <f t="shared" si="1"/>
        <v>4070</v>
      </c>
      <c r="AR10" s="256">
        <f t="shared" si="1"/>
        <v>4022</v>
      </c>
      <c r="AS10" s="422">
        <v>4025</v>
      </c>
    </row>
    <row r="11" spans="1:93" s="228" customFormat="1" ht="15" customHeight="1" x14ac:dyDescent="0.2">
      <c r="A11" s="226" t="s">
        <v>552</v>
      </c>
      <c r="B11" s="253">
        <v>956</v>
      </c>
      <c r="C11" s="253">
        <v>1017</v>
      </c>
      <c r="D11" s="253">
        <v>1060</v>
      </c>
      <c r="E11" s="253">
        <v>1048</v>
      </c>
      <c r="F11" s="253">
        <v>1077</v>
      </c>
      <c r="G11" s="253">
        <v>1144</v>
      </c>
      <c r="H11" s="253">
        <v>1225</v>
      </c>
      <c r="I11" s="253">
        <v>1255</v>
      </c>
      <c r="J11" s="254">
        <v>1226</v>
      </c>
      <c r="K11" s="254">
        <v>1278</v>
      </c>
      <c r="L11" s="254">
        <v>1221</v>
      </c>
      <c r="M11" s="254">
        <v>1328</v>
      </c>
      <c r="N11" s="254">
        <v>1317</v>
      </c>
      <c r="O11" s="254">
        <f>1460-53</f>
        <v>1407</v>
      </c>
      <c r="P11" s="254">
        <f>1479-60+43+29</f>
        <v>1491</v>
      </c>
      <c r="Q11" s="254">
        <f>1512-63-3+85</f>
        <v>1531</v>
      </c>
      <c r="R11" s="254">
        <v>1508</v>
      </c>
      <c r="S11" s="254">
        <f>1664-71</f>
        <v>1593</v>
      </c>
      <c r="T11" s="254">
        <v>1722</v>
      </c>
      <c r="U11" s="254">
        <f>1769-84+126+1</f>
        <v>1812</v>
      </c>
      <c r="V11" s="254">
        <f>1912-143</f>
        <v>1769</v>
      </c>
      <c r="W11" s="254">
        <f>1907-83</f>
        <v>1824</v>
      </c>
      <c r="X11" s="254">
        <v>1916</v>
      </c>
      <c r="Y11" s="254">
        <f>1892-90+115</f>
        <v>1917</v>
      </c>
      <c r="Z11" s="254">
        <f>2001-161</f>
        <v>1840</v>
      </c>
      <c r="AA11" s="254">
        <f>2010-95</f>
        <v>1915</v>
      </c>
      <c r="AB11" s="254">
        <f>2009-106+70+44</f>
        <v>2017</v>
      </c>
      <c r="AC11" s="254">
        <f>2126-101</f>
        <v>2025</v>
      </c>
      <c r="AD11" s="254">
        <f>2121-166</f>
        <v>1955</v>
      </c>
      <c r="AE11" s="254">
        <v>2026</v>
      </c>
      <c r="AF11" s="254">
        <f>2103-97+84+51+1</f>
        <v>2142</v>
      </c>
      <c r="AG11" s="254">
        <f>2110-107+153</f>
        <v>2156</v>
      </c>
      <c r="AH11" s="254">
        <f>2247-184</f>
        <v>2063</v>
      </c>
      <c r="AI11" s="254">
        <v>2151</v>
      </c>
      <c r="AJ11" s="254">
        <f>2301-156+104+64</f>
        <v>2313</v>
      </c>
      <c r="AK11" s="254">
        <v>2309</v>
      </c>
      <c r="AL11" s="254">
        <f>2435-223</f>
        <v>2212</v>
      </c>
      <c r="AM11" s="254">
        <v>2210</v>
      </c>
      <c r="AN11" s="254">
        <v>3073</v>
      </c>
      <c r="AO11" s="254">
        <v>3117</v>
      </c>
      <c r="AP11" s="254">
        <v>2820</v>
      </c>
      <c r="AQ11" s="254">
        <v>2934</v>
      </c>
      <c r="AR11" s="254">
        <v>2831</v>
      </c>
      <c r="AS11" s="711">
        <v>2882</v>
      </c>
    </row>
    <row r="12" spans="1:93" s="228" customFormat="1" ht="15" customHeight="1" x14ac:dyDescent="0.2">
      <c r="A12" s="226" t="s">
        <v>125</v>
      </c>
      <c r="B12" s="253">
        <v>323</v>
      </c>
      <c r="C12" s="253">
        <v>333</v>
      </c>
      <c r="D12" s="253">
        <v>361</v>
      </c>
      <c r="E12" s="253">
        <v>384</v>
      </c>
      <c r="F12" s="253">
        <v>360</v>
      </c>
      <c r="G12" s="253">
        <v>332</v>
      </c>
      <c r="H12" s="253">
        <v>351</v>
      </c>
      <c r="I12" s="253">
        <v>368</v>
      </c>
      <c r="J12" s="254">
        <v>362</v>
      </c>
      <c r="K12" s="254">
        <v>358</v>
      </c>
      <c r="L12" s="254">
        <v>447</v>
      </c>
      <c r="M12" s="254">
        <v>397</v>
      </c>
      <c r="N12" s="254">
        <v>418</v>
      </c>
      <c r="O12" s="254">
        <f>355+69</f>
        <v>424</v>
      </c>
      <c r="P12" s="254">
        <f>378+72+4</f>
        <v>454</v>
      </c>
      <c r="Q12" s="254">
        <f>384+79+12</f>
        <v>475</v>
      </c>
      <c r="R12" s="254">
        <v>488</v>
      </c>
      <c r="S12" s="254">
        <f>413+95</f>
        <v>508</v>
      </c>
      <c r="T12" s="254">
        <f>426+135+5</f>
        <v>566</v>
      </c>
      <c r="U12" s="254">
        <f>442+144+18</f>
        <v>604</v>
      </c>
      <c r="V12" s="254">
        <f>469+113</f>
        <v>582</v>
      </c>
      <c r="W12" s="254">
        <f>471+141</f>
        <v>612</v>
      </c>
      <c r="X12" s="254">
        <f>485+141+6</f>
        <v>632</v>
      </c>
      <c r="Y12" s="254">
        <f>484+150+18</f>
        <v>652</v>
      </c>
      <c r="Z12" s="254">
        <f>499+151</f>
        <v>650</v>
      </c>
      <c r="AA12" s="254">
        <f>504+144</f>
        <v>648</v>
      </c>
      <c r="AB12" s="254">
        <f>522+144+8-1</f>
        <v>673</v>
      </c>
      <c r="AC12" s="254">
        <f>524+160+23</f>
        <v>707</v>
      </c>
      <c r="AD12" s="254">
        <f>539+153</f>
        <v>692</v>
      </c>
      <c r="AE12" s="254">
        <v>701</v>
      </c>
      <c r="AF12" s="254">
        <f>577+148+9+1</f>
        <v>735</v>
      </c>
      <c r="AG12" s="254">
        <f>622+154+1</f>
        <v>777</v>
      </c>
      <c r="AH12" s="254">
        <f>597+153</f>
        <v>750</v>
      </c>
      <c r="AI12" s="254">
        <v>744</v>
      </c>
      <c r="AJ12" s="254">
        <v>805</v>
      </c>
      <c r="AK12" s="254">
        <f>651+160+39</f>
        <v>850</v>
      </c>
      <c r="AL12" s="254">
        <f>682+131</f>
        <v>813</v>
      </c>
      <c r="AM12" s="254">
        <v>806</v>
      </c>
      <c r="AN12" s="254">
        <v>1006</v>
      </c>
      <c r="AO12" s="254">
        <v>1140</v>
      </c>
      <c r="AP12" s="254">
        <v>1126</v>
      </c>
      <c r="AQ12" s="254">
        <v>1136</v>
      </c>
      <c r="AR12" s="254">
        <v>1191</v>
      </c>
      <c r="AS12" s="711">
        <v>1143</v>
      </c>
    </row>
    <row r="13" spans="1:93" s="228" customFormat="1" ht="5.0999999999999996" customHeight="1" x14ac:dyDescent="0.2">
      <c r="A13" s="226"/>
      <c r="B13" s="253"/>
      <c r="C13" s="253"/>
      <c r="D13" s="253"/>
      <c r="E13" s="253"/>
      <c r="F13" s="253"/>
      <c r="G13" s="253"/>
      <c r="H13" s="253"/>
      <c r="I13" s="253"/>
      <c r="J13" s="254"/>
      <c r="K13" s="254"/>
      <c r="L13" s="254"/>
      <c r="M13" s="254"/>
      <c r="N13" s="254"/>
      <c r="O13" s="254"/>
      <c r="P13" s="254"/>
      <c r="Q13" s="254"/>
      <c r="R13" s="254"/>
      <c r="S13" s="254"/>
      <c r="T13" s="254"/>
      <c r="U13" s="254"/>
      <c r="V13" s="254"/>
      <c r="W13" s="254"/>
      <c r="X13" s="254"/>
      <c r="Y13" s="254"/>
      <c r="Z13" s="254"/>
      <c r="AA13" s="254"/>
      <c r="AB13" s="254"/>
      <c r="AC13" s="254"/>
      <c r="AD13" s="254"/>
      <c r="AE13" s="254"/>
      <c r="AF13" s="254"/>
      <c r="AG13" s="254"/>
      <c r="AH13" s="254"/>
      <c r="AI13" s="254"/>
      <c r="AJ13" s="254"/>
      <c r="AK13" s="254"/>
      <c r="AL13" s="254"/>
      <c r="AM13" s="254"/>
      <c r="AN13" s="254"/>
      <c r="AO13" s="254"/>
      <c r="AP13" s="254"/>
      <c r="AQ13" s="254"/>
      <c r="AR13" s="254"/>
      <c r="AS13" s="422"/>
    </row>
    <row r="14" spans="1:93" s="232" customFormat="1" ht="15" customHeight="1" x14ac:dyDescent="0.2">
      <c r="A14" s="229" t="s">
        <v>126</v>
      </c>
      <c r="B14" s="256">
        <f t="shared" ref="B14:AL14" si="2">SUM(B15:B18)</f>
        <v>227</v>
      </c>
      <c r="C14" s="256">
        <f t="shared" si="2"/>
        <v>351</v>
      </c>
      <c r="D14" s="256">
        <f t="shared" si="2"/>
        <v>271</v>
      </c>
      <c r="E14" s="256">
        <f t="shared" si="2"/>
        <v>443</v>
      </c>
      <c r="F14" s="256">
        <f t="shared" si="2"/>
        <v>357</v>
      </c>
      <c r="G14" s="256">
        <f t="shared" si="2"/>
        <v>299</v>
      </c>
      <c r="H14" s="256">
        <f t="shared" si="2"/>
        <v>313</v>
      </c>
      <c r="I14" s="256">
        <f t="shared" si="2"/>
        <v>309</v>
      </c>
      <c r="J14" s="256">
        <f t="shared" si="2"/>
        <v>264</v>
      </c>
      <c r="K14" s="256">
        <f t="shared" si="2"/>
        <v>272</v>
      </c>
      <c r="L14" s="256">
        <f t="shared" si="2"/>
        <v>458</v>
      </c>
      <c r="M14" s="256">
        <f t="shared" si="2"/>
        <v>356</v>
      </c>
      <c r="N14" s="256">
        <f t="shared" si="2"/>
        <v>385</v>
      </c>
      <c r="O14" s="256">
        <f t="shared" si="2"/>
        <v>407</v>
      </c>
      <c r="P14" s="256">
        <f t="shared" si="2"/>
        <v>466</v>
      </c>
      <c r="Q14" s="256">
        <f t="shared" si="2"/>
        <v>527</v>
      </c>
      <c r="R14" s="256">
        <f t="shared" si="2"/>
        <v>440</v>
      </c>
      <c r="S14" s="256">
        <f t="shared" si="2"/>
        <v>504</v>
      </c>
      <c r="T14" s="256">
        <f t="shared" si="2"/>
        <v>592</v>
      </c>
      <c r="U14" s="256">
        <f t="shared" si="2"/>
        <v>724</v>
      </c>
      <c r="V14" s="256">
        <f t="shared" si="2"/>
        <v>527</v>
      </c>
      <c r="W14" s="256">
        <f t="shared" si="2"/>
        <v>611</v>
      </c>
      <c r="X14" s="256">
        <f t="shared" si="2"/>
        <v>571</v>
      </c>
      <c r="Y14" s="256">
        <f t="shared" si="2"/>
        <v>573</v>
      </c>
      <c r="Z14" s="256">
        <f t="shared" si="2"/>
        <v>569</v>
      </c>
      <c r="AA14" s="256">
        <f t="shared" si="2"/>
        <v>628</v>
      </c>
      <c r="AB14" s="256">
        <f t="shared" si="2"/>
        <v>656</v>
      </c>
      <c r="AC14" s="256">
        <f t="shared" si="2"/>
        <v>733</v>
      </c>
      <c r="AD14" s="256">
        <f t="shared" si="2"/>
        <v>632</v>
      </c>
      <c r="AE14" s="256">
        <f t="shared" si="2"/>
        <v>721</v>
      </c>
      <c r="AF14" s="256">
        <f t="shared" si="2"/>
        <v>688</v>
      </c>
      <c r="AG14" s="256">
        <f t="shared" si="2"/>
        <v>743</v>
      </c>
      <c r="AH14" s="256">
        <f t="shared" si="2"/>
        <v>632</v>
      </c>
      <c r="AI14" s="256">
        <f t="shared" si="2"/>
        <v>723</v>
      </c>
      <c r="AJ14" s="256">
        <f t="shared" si="2"/>
        <v>679</v>
      </c>
      <c r="AK14" s="256">
        <f t="shared" si="2"/>
        <v>680</v>
      </c>
      <c r="AL14" s="256">
        <f t="shared" si="2"/>
        <v>728</v>
      </c>
      <c r="AM14" s="256">
        <f t="shared" ref="AM14:AR14" si="3">SUM(AM15:AM18)</f>
        <v>866</v>
      </c>
      <c r="AN14" s="256">
        <f t="shared" si="3"/>
        <v>851</v>
      </c>
      <c r="AO14" s="256">
        <f t="shared" si="3"/>
        <v>814</v>
      </c>
      <c r="AP14" s="256">
        <f t="shared" si="3"/>
        <v>876</v>
      </c>
      <c r="AQ14" s="256">
        <f t="shared" si="3"/>
        <v>897</v>
      </c>
      <c r="AR14" s="256">
        <f t="shared" si="3"/>
        <v>811</v>
      </c>
      <c r="AS14" s="422">
        <v>871</v>
      </c>
    </row>
    <row r="15" spans="1:93" s="228" customFormat="1" ht="15" customHeight="1" x14ac:dyDescent="0.2">
      <c r="A15" s="226" t="s">
        <v>553</v>
      </c>
      <c r="B15" s="253">
        <v>155</v>
      </c>
      <c r="C15" s="253">
        <v>204</v>
      </c>
      <c r="D15" s="253">
        <v>152</v>
      </c>
      <c r="E15" s="253">
        <v>273</v>
      </c>
      <c r="F15" s="253">
        <v>204</v>
      </c>
      <c r="G15" s="253">
        <v>177</v>
      </c>
      <c r="H15" s="253">
        <v>184</v>
      </c>
      <c r="I15" s="253">
        <f>56+113</f>
        <v>169</v>
      </c>
      <c r="J15" s="254">
        <v>140</v>
      </c>
      <c r="K15" s="254">
        <v>136</v>
      </c>
      <c r="L15" s="254">
        <v>306</v>
      </c>
      <c r="M15" s="254">
        <v>187</v>
      </c>
      <c r="N15" s="254">
        <v>234</v>
      </c>
      <c r="O15" s="254">
        <f>31+197</f>
        <v>228</v>
      </c>
      <c r="P15" s="254">
        <f>10+70+194</f>
        <v>274</v>
      </c>
      <c r="Q15" s="254">
        <f>10+94+194</f>
        <v>298</v>
      </c>
      <c r="R15" s="254">
        <v>267</v>
      </c>
      <c r="S15" s="254">
        <f>15+4+3+211</f>
        <v>233</v>
      </c>
      <c r="T15" s="254">
        <v>321</v>
      </c>
      <c r="U15" s="254">
        <f>229+223+45</f>
        <v>497</v>
      </c>
      <c r="V15" s="254">
        <f>265+59</f>
        <v>324</v>
      </c>
      <c r="W15" s="254">
        <f>265+76</f>
        <v>341</v>
      </c>
      <c r="X15" s="254">
        <f>256+72</f>
        <v>328</v>
      </c>
      <c r="Y15" s="254">
        <f>245+97</f>
        <v>342</v>
      </c>
      <c r="Z15" s="254">
        <f>260+76</f>
        <v>336</v>
      </c>
      <c r="AA15" s="254">
        <f>262+74</f>
        <v>336</v>
      </c>
      <c r="AB15" s="254">
        <f>75+276</f>
        <v>351</v>
      </c>
      <c r="AC15" s="254">
        <f>68+318</f>
        <v>386</v>
      </c>
      <c r="AD15" s="254">
        <f>66+293</f>
        <v>359</v>
      </c>
      <c r="AE15" s="254">
        <v>391</v>
      </c>
      <c r="AF15" s="254">
        <f>73+328</f>
        <v>401</v>
      </c>
      <c r="AG15" s="254">
        <f>76+309</f>
        <v>385</v>
      </c>
      <c r="AH15" s="254">
        <v>397</v>
      </c>
      <c r="AI15" s="254">
        <v>390</v>
      </c>
      <c r="AJ15" s="254">
        <v>401</v>
      </c>
      <c r="AK15" s="254">
        <v>390</v>
      </c>
      <c r="AL15" s="254">
        <f>91+360</f>
        <v>451</v>
      </c>
      <c r="AM15" s="254">
        <v>450</v>
      </c>
      <c r="AN15" s="254">
        <f>89+370</f>
        <v>459</v>
      </c>
      <c r="AO15" s="254">
        <v>486</v>
      </c>
      <c r="AP15" s="254">
        <v>506</v>
      </c>
      <c r="AQ15" s="254">
        <v>485</v>
      </c>
      <c r="AR15" s="254">
        <v>373</v>
      </c>
      <c r="AS15" s="711">
        <v>504</v>
      </c>
    </row>
    <row r="16" spans="1:93" s="228" customFormat="1" ht="15" customHeight="1" x14ac:dyDescent="0.2">
      <c r="A16" s="226" t="s">
        <v>554</v>
      </c>
      <c r="B16" s="253">
        <v>30</v>
      </c>
      <c r="C16" s="253">
        <v>103</v>
      </c>
      <c r="D16" s="253">
        <v>76</v>
      </c>
      <c r="E16" s="253">
        <v>123</v>
      </c>
      <c r="F16" s="253">
        <v>113</v>
      </c>
      <c r="G16" s="253">
        <v>74</v>
      </c>
      <c r="H16" s="253">
        <v>78</v>
      </c>
      <c r="I16" s="253">
        <v>85</v>
      </c>
      <c r="J16" s="254">
        <v>82</v>
      </c>
      <c r="K16" s="254">
        <v>97</v>
      </c>
      <c r="L16" s="254">
        <v>105</v>
      </c>
      <c r="M16" s="254">
        <v>111</v>
      </c>
      <c r="N16" s="254">
        <v>109</v>
      </c>
      <c r="O16" s="254">
        <v>128</v>
      </c>
      <c r="P16" s="254">
        <v>141</v>
      </c>
      <c r="Q16" s="254">
        <v>165</v>
      </c>
      <c r="R16" s="254">
        <v>118</v>
      </c>
      <c r="S16" s="254">
        <v>201</v>
      </c>
      <c r="T16" s="254">
        <v>199</v>
      </c>
      <c r="U16" s="254">
        <v>145</v>
      </c>
      <c r="V16" s="254">
        <v>143</v>
      </c>
      <c r="W16" s="254">
        <v>188</v>
      </c>
      <c r="X16" s="254">
        <v>167</v>
      </c>
      <c r="Y16" s="254">
        <v>152</v>
      </c>
      <c r="Z16" s="254">
        <v>164</v>
      </c>
      <c r="AA16" s="254">
        <v>210</v>
      </c>
      <c r="AB16" s="254">
        <v>210</v>
      </c>
      <c r="AC16" s="254">
        <v>222</v>
      </c>
      <c r="AD16" s="254">
        <v>182</v>
      </c>
      <c r="AE16" s="254">
        <v>220</v>
      </c>
      <c r="AF16" s="254">
        <v>177</v>
      </c>
      <c r="AG16" s="254">
        <v>212</v>
      </c>
      <c r="AH16" s="254">
        <v>139</v>
      </c>
      <c r="AI16" s="254">
        <v>212</v>
      </c>
      <c r="AJ16" s="254">
        <v>167</v>
      </c>
      <c r="AK16" s="254">
        <v>187</v>
      </c>
      <c r="AL16" s="254">
        <v>159</v>
      </c>
      <c r="AM16" s="254">
        <v>210</v>
      </c>
      <c r="AN16" s="254">
        <v>250</v>
      </c>
      <c r="AO16" s="254">
        <v>152</v>
      </c>
      <c r="AP16" s="254">
        <v>167</v>
      </c>
      <c r="AQ16" s="254">
        <v>211</v>
      </c>
      <c r="AR16" s="254">
        <v>336</v>
      </c>
      <c r="AS16" s="711">
        <v>266</v>
      </c>
    </row>
    <row r="17" spans="1:121" s="75" customFormat="1" ht="15" customHeight="1" x14ac:dyDescent="0.2">
      <c r="A17" s="226" t="s">
        <v>127</v>
      </c>
      <c r="B17" s="253">
        <v>10</v>
      </c>
      <c r="C17" s="253">
        <v>19</v>
      </c>
      <c r="D17" s="253">
        <v>22</v>
      </c>
      <c r="E17" s="253">
        <v>24</v>
      </c>
      <c r="F17" s="253">
        <v>11</v>
      </c>
      <c r="G17" s="253">
        <v>23</v>
      </c>
      <c r="H17" s="253">
        <v>29</v>
      </c>
      <c r="I17" s="253">
        <v>31</v>
      </c>
      <c r="J17" s="254">
        <v>17</v>
      </c>
      <c r="K17" s="254">
        <v>30</v>
      </c>
      <c r="L17" s="254">
        <v>24</v>
      </c>
      <c r="M17" s="254">
        <v>27</v>
      </c>
      <c r="N17" s="254">
        <v>11</v>
      </c>
      <c r="O17" s="254">
        <v>26</v>
      </c>
      <c r="P17" s="254">
        <v>30</v>
      </c>
      <c r="Q17" s="254">
        <v>39</v>
      </c>
      <c r="R17" s="254">
        <v>19</v>
      </c>
      <c r="S17" s="254">
        <v>39</v>
      </c>
      <c r="T17" s="254">
        <v>50</v>
      </c>
      <c r="U17" s="254">
        <v>53</v>
      </c>
      <c r="V17" s="254">
        <v>22</v>
      </c>
      <c r="W17" s="254">
        <v>41</v>
      </c>
      <c r="X17" s="254">
        <v>38</v>
      </c>
      <c r="Y17" s="254">
        <v>32</v>
      </c>
      <c r="Z17" s="254">
        <v>12</v>
      </c>
      <c r="AA17" s="254">
        <v>26</v>
      </c>
      <c r="AB17" s="254">
        <v>33</v>
      </c>
      <c r="AC17" s="254">
        <v>54</v>
      </c>
      <c r="AD17" s="254">
        <v>17</v>
      </c>
      <c r="AE17" s="254">
        <v>36</v>
      </c>
      <c r="AF17" s="254">
        <v>40</v>
      </c>
      <c r="AG17" s="254">
        <v>51</v>
      </c>
      <c r="AH17" s="254">
        <v>23</v>
      </c>
      <c r="AI17" s="254">
        <v>36</v>
      </c>
      <c r="AJ17" s="254">
        <v>42</v>
      </c>
      <c r="AK17" s="254">
        <v>44</v>
      </c>
      <c r="AL17" s="254">
        <v>19</v>
      </c>
      <c r="AM17" s="254">
        <v>32</v>
      </c>
      <c r="AN17" s="254">
        <v>66</v>
      </c>
      <c r="AO17" s="254">
        <v>59</v>
      </c>
      <c r="AP17" s="254">
        <v>31</v>
      </c>
      <c r="AQ17" s="254">
        <v>45</v>
      </c>
      <c r="AR17" s="254">
        <v>51</v>
      </c>
      <c r="AS17" s="711">
        <v>44</v>
      </c>
    </row>
    <row r="18" spans="1:121" s="75" customFormat="1" ht="15" customHeight="1" x14ac:dyDescent="0.2">
      <c r="A18" s="226" t="s">
        <v>555</v>
      </c>
      <c r="B18" s="253">
        <v>32</v>
      </c>
      <c r="C18" s="253">
        <v>25</v>
      </c>
      <c r="D18" s="253">
        <v>21</v>
      </c>
      <c r="E18" s="253">
        <v>23</v>
      </c>
      <c r="F18" s="253">
        <v>29</v>
      </c>
      <c r="G18" s="253">
        <v>25</v>
      </c>
      <c r="H18" s="253">
        <v>22</v>
      </c>
      <c r="I18" s="253">
        <v>24</v>
      </c>
      <c r="J18" s="254">
        <v>25</v>
      </c>
      <c r="K18" s="254">
        <v>9</v>
      </c>
      <c r="L18" s="254">
        <v>23</v>
      </c>
      <c r="M18" s="254">
        <v>31</v>
      </c>
      <c r="N18" s="254">
        <v>31</v>
      </c>
      <c r="O18" s="254">
        <v>25</v>
      </c>
      <c r="P18" s="254">
        <v>21</v>
      </c>
      <c r="Q18" s="254">
        <v>25</v>
      </c>
      <c r="R18" s="254">
        <v>36</v>
      </c>
      <c r="S18" s="254">
        <v>31</v>
      </c>
      <c r="T18" s="254">
        <v>22</v>
      </c>
      <c r="U18" s="254">
        <v>29</v>
      </c>
      <c r="V18" s="254">
        <v>38</v>
      </c>
      <c r="W18" s="254">
        <v>41</v>
      </c>
      <c r="X18" s="254">
        <v>38</v>
      </c>
      <c r="Y18" s="254">
        <v>47</v>
      </c>
      <c r="Z18" s="254">
        <v>57</v>
      </c>
      <c r="AA18" s="254">
        <v>56</v>
      </c>
      <c r="AB18" s="254">
        <f>63-1</f>
        <v>62</v>
      </c>
      <c r="AC18" s="254">
        <v>71</v>
      </c>
      <c r="AD18" s="254">
        <v>74</v>
      </c>
      <c r="AE18" s="254">
        <v>74</v>
      </c>
      <c r="AF18" s="254">
        <f>69+1</f>
        <v>70</v>
      </c>
      <c r="AG18" s="254">
        <f>94+1</f>
        <v>95</v>
      </c>
      <c r="AH18" s="254">
        <v>73</v>
      </c>
      <c r="AI18" s="254">
        <v>85</v>
      </c>
      <c r="AJ18" s="254">
        <v>69</v>
      </c>
      <c r="AK18" s="254">
        <v>59</v>
      </c>
      <c r="AL18" s="254">
        <v>99</v>
      </c>
      <c r="AM18" s="254">
        <v>174</v>
      </c>
      <c r="AN18" s="254">
        <v>76</v>
      </c>
      <c r="AO18" s="254">
        <v>117</v>
      </c>
      <c r="AP18" s="254">
        <v>172</v>
      </c>
      <c r="AQ18" s="254">
        <v>156</v>
      </c>
      <c r="AR18" s="254">
        <v>51</v>
      </c>
      <c r="AS18" s="711">
        <v>57</v>
      </c>
    </row>
    <row r="19" spans="1:121" s="75" customFormat="1" ht="5.0999999999999996" customHeight="1" x14ac:dyDescent="0.2">
      <c r="A19" s="226"/>
      <c r="B19" s="253"/>
      <c r="C19" s="253"/>
      <c r="D19" s="253"/>
      <c r="E19" s="253"/>
      <c r="F19" s="253"/>
      <c r="G19" s="253"/>
      <c r="H19" s="253"/>
      <c r="I19" s="253"/>
      <c r="J19" s="258"/>
      <c r="K19" s="258"/>
      <c r="L19" s="258"/>
      <c r="M19" s="258"/>
      <c r="N19" s="258"/>
      <c r="O19" s="258"/>
      <c r="P19" s="258"/>
      <c r="Q19" s="258"/>
      <c r="R19" s="258"/>
      <c r="S19" s="258"/>
      <c r="T19" s="258"/>
      <c r="U19" s="258"/>
      <c r="V19" s="258"/>
      <c r="W19" s="258"/>
      <c r="X19" s="258"/>
      <c r="Y19" s="258"/>
      <c r="Z19" s="258"/>
      <c r="AA19" s="258"/>
      <c r="AB19" s="258"/>
      <c r="AC19" s="258"/>
      <c r="AD19" s="258"/>
      <c r="AE19" s="258"/>
      <c r="AF19" s="258"/>
      <c r="AG19" s="258"/>
      <c r="AH19" s="258"/>
      <c r="AI19" s="258"/>
      <c r="AJ19" s="258"/>
      <c r="AK19" s="258"/>
      <c r="AL19" s="258"/>
      <c r="AM19" s="258"/>
      <c r="AN19" s="258"/>
      <c r="AO19" s="258"/>
      <c r="AP19" s="258"/>
      <c r="AQ19" s="258"/>
      <c r="AR19" s="258"/>
      <c r="AS19" s="579"/>
    </row>
    <row r="20" spans="1:121" s="178" customFormat="1" ht="15" customHeight="1" thickBot="1" x14ac:dyDescent="0.25">
      <c r="A20" s="175" t="s">
        <v>10</v>
      </c>
      <c r="B20" s="176">
        <f>B10+B14</f>
        <v>1506</v>
      </c>
      <c r="C20" s="176">
        <f t="shared" ref="C20:AL20" si="4">C10+C14</f>
        <v>1701</v>
      </c>
      <c r="D20" s="176">
        <f t="shared" si="4"/>
        <v>1692</v>
      </c>
      <c r="E20" s="176">
        <f t="shared" si="4"/>
        <v>1875</v>
      </c>
      <c r="F20" s="176">
        <f t="shared" si="4"/>
        <v>1794</v>
      </c>
      <c r="G20" s="176">
        <f t="shared" si="4"/>
        <v>1775</v>
      </c>
      <c r="H20" s="176">
        <f t="shared" si="4"/>
        <v>1889</v>
      </c>
      <c r="I20" s="176">
        <f t="shared" si="4"/>
        <v>1932</v>
      </c>
      <c r="J20" s="176">
        <f t="shared" si="4"/>
        <v>1852</v>
      </c>
      <c r="K20" s="176">
        <f t="shared" si="4"/>
        <v>1908</v>
      </c>
      <c r="L20" s="176">
        <f t="shared" si="4"/>
        <v>2126</v>
      </c>
      <c r="M20" s="176">
        <f t="shared" si="4"/>
        <v>2081</v>
      </c>
      <c r="N20" s="176">
        <f t="shared" si="4"/>
        <v>2120</v>
      </c>
      <c r="O20" s="176">
        <f t="shared" si="4"/>
        <v>2238</v>
      </c>
      <c r="P20" s="176">
        <f t="shared" si="4"/>
        <v>2411</v>
      </c>
      <c r="Q20" s="176">
        <f t="shared" si="4"/>
        <v>2533</v>
      </c>
      <c r="R20" s="176">
        <f t="shared" si="4"/>
        <v>2436</v>
      </c>
      <c r="S20" s="176">
        <f t="shared" si="4"/>
        <v>2605</v>
      </c>
      <c r="T20" s="176">
        <f t="shared" si="4"/>
        <v>2880</v>
      </c>
      <c r="U20" s="176">
        <f t="shared" si="4"/>
        <v>3140</v>
      </c>
      <c r="V20" s="176">
        <f t="shared" si="4"/>
        <v>2878</v>
      </c>
      <c r="W20" s="176">
        <f t="shared" si="4"/>
        <v>3047</v>
      </c>
      <c r="X20" s="176">
        <f t="shared" si="4"/>
        <v>3119</v>
      </c>
      <c r="Y20" s="176">
        <f t="shared" si="4"/>
        <v>3142</v>
      </c>
      <c r="Z20" s="176">
        <f t="shared" si="4"/>
        <v>3059</v>
      </c>
      <c r="AA20" s="176">
        <f t="shared" si="4"/>
        <v>3191</v>
      </c>
      <c r="AB20" s="176">
        <f t="shared" si="4"/>
        <v>3346</v>
      </c>
      <c r="AC20" s="176">
        <f t="shared" si="4"/>
        <v>3465</v>
      </c>
      <c r="AD20" s="176">
        <f t="shared" si="4"/>
        <v>3279</v>
      </c>
      <c r="AE20" s="176">
        <f t="shared" si="4"/>
        <v>3448</v>
      </c>
      <c r="AF20" s="176">
        <f t="shared" si="4"/>
        <v>3565</v>
      </c>
      <c r="AG20" s="176">
        <f t="shared" si="4"/>
        <v>3676</v>
      </c>
      <c r="AH20" s="176">
        <f t="shared" si="4"/>
        <v>3445</v>
      </c>
      <c r="AI20" s="176">
        <f t="shared" si="4"/>
        <v>3618</v>
      </c>
      <c r="AJ20" s="176">
        <f t="shared" si="4"/>
        <v>3797</v>
      </c>
      <c r="AK20" s="176">
        <f t="shared" si="4"/>
        <v>3839</v>
      </c>
      <c r="AL20" s="176">
        <f t="shared" si="4"/>
        <v>3753</v>
      </c>
      <c r="AM20" s="176">
        <f t="shared" ref="AM20:AR20" si="5">AM10+AM14</f>
        <v>3882</v>
      </c>
      <c r="AN20" s="176">
        <f t="shared" si="5"/>
        <v>4930</v>
      </c>
      <c r="AO20" s="176">
        <f t="shared" si="5"/>
        <v>5071</v>
      </c>
      <c r="AP20" s="176">
        <f t="shared" si="5"/>
        <v>4822</v>
      </c>
      <c r="AQ20" s="176">
        <f t="shared" si="5"/>
        <v>4967</v>
      </c>
      <c r="AR20" s="176">
        <f t="shared" si="5"/>
        <v>4833</v>
      </c>
      <c r="AS20" s="375">
        <f t="shared" ref="AS20" si="6">AS10+AS14</f>
        <v>4896</v>
      </c>
      <c r="AT20" s="193"/>
      <c r="AU20" s="193"/>
      <c r="AV20" s="193"/>
      <c r="AW20" s="193"/>
      <c r="AX20" s="193"/>
      <c r="AY20" s="193"/>
      <c r="AZ20" s="193"/>
      <c r="BA20" s="193"/>
      <c r="BB20" s="193"/>
      <c r="BC20" s="193"/>
      <c r="BD20" s="193"/>
      <c r="BE20" s="193"/>
      <c r="BF20" s="193"/>
      <c r="BG20" s="193"/>
      <c r="BH20" s="193"/>
      <c r="BI20" s="193"/>
      <c r="BJ20" s="193"/>
      <c r="BK20" s="193"/>
      <c r="BL20" s="193"/>
      <c r="BM20" s="193"/>
      <c r="BN20" s="193"/>
      <c r="BO20" s="193"/>
      <c r="BP20" s="193"/>
      <c r="BQ20" s="193"/>
      <c r="BR20" s="193"/>
      <c r="BS20" s="193"/>
      <c r="BT20" s="193"/>
      <c r="BU20" s="193"/>
      <c r="BV20" s="193"/>
      <c r="BW20" s="193"/>
      <c r="BX20" s="193"/>
      <c r="BY20" s="193"/>
      <c r="BZ20" s="193"/>
      <c r="CA20" s="193"/>
      <c r="CB20" s="193"/>
      <c r="CC20" s="193"/>
      <c r="CD20" s="193"/>
      <c r="CE20" s="193"/>
      <c r="CF20" s="193"/>
      <c r="CG20" s="193"/>
      <c r="CH20" s="193"/>
      <c r="CI20" s="193"/>
      <c r="CJ20" s="193"/>
      <c r="CK20" s="193"/>
      <c r="CL20" s="193"/>
      <c r="CM20" s="193"/>
      <c r="CN20" s="193"/>
      <c r="CO20" s="193"/>
      <c r="CP20" s="193"/>
      <c r="CQ20" s="193"/>
      <c r="CR20" s="193"/>
      <c r="CS20" s="193"/>
      <c r="CT20" s="193"/>
      <c r="CU20" s="193"/>
      <c r="CV20" s="193"/>
      <c r="CW20" s="193"/>
      <c r="CX20" s="193"/>
      <c r="CY20" s="193"/>
      <c r="CZ20" s="193"/>
      <c r="DA20" s="193"/>
      <c r="DB20" s="193"/>
      <c r="DC20" s="193"/>
      <c r="DD20" s="193"/>
      <c r="DE20" s="193"/>
      <c r="DF20" s="193"/>
      <c r="DG20" s="193"/>
      <c r="DH20" s="193"/>
      <c r="DI20" s="193"/>
      <c r="DJ20" s="193"/>
      <c r="DK20" s="193"/>
      <c r="DL20" s="193"/>
      <c r="DM20" s="193"/>
      <c r="DN20" s="193"/>
      <c r="DO20" s="193"/>
      <c r="DP20" s="193"/>
      <c r="DQ20" s="193"/>
    </row>
    <row r="21" spans="1:121" s="13" customFormat="1" ht="15" customHeight="1" thickTop="1" x14ac:dyDescent="0.2"/>
    <row r="22" spans="1:121" s="13" customFormat="1" ht="15" customHeight="1" x14ac:dyDescent="0.2"/>
    <row r="23" spans="1:121" s="13" customFormat="1" ht="15" customHeight="1" x14ac:dyDescent="0.2"/>
    <row r="24" spans="1:121" s="13" customFormat="1" ht="15" customHeight="1" x14ac:dyDescent="0.2"/>
    <row r="25" spans="1:121" s="13" customFormat="1" ht="15" customHeight="1" x14ac:dyDescent="0.2"/>
    <row r="26" spans="1:121" s="13" customFormat="1" ht="15" customHeight="1" x14ac:dyDescent="0.2"/>
    <row r="27" spans="1:121" s="13" customFormat="1" ht="15" customHeight="1" x14ac:dyDescent="0.2"/>
    <row r="28" spans="1:121" s="13" customFormat="1" ht="15" customHeight="1" x14ac:dyDescent="0.2"/>
    <row r="29" spans="1:121" s="13" customFormat="1" ht="15" customHeight="1" x14ac:dyDescent="0.2"/>
    <row r="30" spans="1:121" s="13" customFormat="1" ht="15" customHeight="1" x14ac:dyDescent="0.2"/>
    <row r="31" spans="1:121" s="13" customFormat="1" ht="15" customHeight="1" x14ac:dyDescent="0.2"/>
    <row r="32" spans="1:121" s="13" customFormat="1" ht="15" customHeight="1" x14ac:dyDescent="0.2"/>
    <row r="33" s="13" customFormat="1" ht="15" customHeight="1" x14ac:dyDescent="0.2"/>
    <row r="34" s="13" customFormat="1" ht="15" customHeight="1" x14ac:dyDescent="0.2"/>
    <row r="35" s="13" customFormat="1" ht="15" customHeight="1" x14ac:dyDescent="0.2"/>
    <row r="36" s="13" customFormat="1" ht="15" customHeight="1" x14ac:dyDescent="0.2"/>
    <row r="37" s="13" customFormat="1" ht="15" customHeight="1" x14ac:dyDescent="0.2"/>
    <row r="38" s="13" customFormat="1" ht="15" customHeight="1" x14ac:dyDescent="0.2"/>
    <row r="39" s="13" customFormat="1" ht="15" customHeight="1" x14ac:dyDescent="0.2"/>
    <row r="40" s="13" customFormat="1" ht="15" customHeight="1" x14ac:dyDescent="0.2"/>
    <row r="41" s="13" customFormat="1" ht="15" customHeight="1" x14ac:dyDescent="0.2"/>
    <row r="42" s="13" customFormat="1" ht="15" customHeight="1" x14ac:dyDescent="0.2"/>
    <row r="43" s="13" customFormat="1" ht="15" customHeight="1" x14ac:dyDescent="0.2"/>
    <row r="44" s="13" customFormat="1" ht="15" customHeight="1" x14ac:dyDescent="0.2"/>
    <row r="45" s="13" customFormat="1" ht="15" customHeight="1" x14ac:dyDescent="0.2"/>
    <row r="46" s="13" customFormat="1" ht="15" customHeight="1" x14ac:dyDescent="0.2"/>
    <row r="47" s="13" customFormat="1" ht="15" customHeight="1" x14ac:dyDescent="0.2"/>
    <row r="48" s="13" customFormat="1" ht="15" customHeight="1" x14ac:dyDescent="0.2"/>
    <row r="49" s="13" customFormat="1" ht="15" customHeight="1" x14ac:dyDescent="0.2"/>
    <row r="50" s="13" customFormat="1" ht="15" customHeight="1" x14ac:dyDescent="0.2"/>
    <row r="51" s="13" customFormat="1" ht="15" customHeight="1" x14ac:dyDescent="0.2"/>
    <row r="52" s="13" customFormat="1" ht="15" customHeight="1" x14ac:dyDescent="0.2"/>
    <row r="53" s="13" customFormat="1" ht="15" customHeight="1" x14ac:dyDescent="0.2"/>
    <row r="54" s="13" customFormat="1" ht="15" customHeight="1" x14ac:dyDescent="0.2"/>
    <row r="55" s="13" customFormat="1" ht="15" customHeight="1" x14ac:dyDescent="0.2"/>
    <row r="56" s="13" customFormat="1" ht="15" customHeight="1" x14ac:dyDescent="0.2"/>
    <row r="57" s="13" customFormat="1" ht="15" customHeight="1" x14ac:dyDescent="0.2"/>
    <row r="58" s="13" customFormat="1" ht="15" customHeight="1" x14ac:dyDescent="0.2"/>
    <row r="59" s="13" customFormat="1" ht="15" customHeight="1" x14ac:dyDescent="0.2"/>
    <row r="60" s="13" customFormat="1" ht="15" customHeight="1" x14ac:dyDescent="0.2"/>
    <row r="61" s="13" customFormat="1" ht="15" customHeight="1" x14ac:dyDescent="0.2"/>
    <row r="62" s="13" customFormat="1" ht="15" customHeight="1" x14ac:dyDescent="0.2"/>
    <row r="63" s="13" customFormat="1" ht="15" customHeight="1" x14ac:dyDescent="0.2"/>
    <row r="64" s="13" customFormat="1" ht="15" customHeight="1" x14ac:dyDescent="0.2"/>
    <row r="65" s="13" customFormat="1" ht="15" customHeight="1" x14ac:dyDescent="0.2"/>
    <row r="66" s="13" customFormat="1" ht="15" customHeight="1" x14ac:dyDescent="0.2"/>
    <row r="67" s="13" customFormat="1" ht="15" customHeight="1" x14ac:dyDescent="0.2"/>
    <row r="68" s="13" customFormat="1" ht="15" customHeight="1" x14ac:dyDescent="0.2"/>
    <row r="69" s="13" customFormat="1" ht="15" customHeight="1" x14ac:dyDescent="0.2"/>
    <row r="70" s="13" customFormat="1" ht="15" customHeight="1" x14ac:dyDescent="0.2"/>
    <row r="71" s="13" customFormat="1" ht="15" customHeight="1" x14ac:dyDescent="0.2"/>
    <row r="72" s="13" customFormat="1" ht="15" customHeight="1" x14ac:dyDescent="0.2"/>
    <row r="73" s="13" customFormat="1" ht="15" customHeight="1" x14ac:dyDescent="0.2"/>
    <row r="74" s="13" customFormat="1" ht="15" customHeight="1" x14ac:dyDescent="0.2"/>
    <row r="75" s="13" customFormat="1" ht="15" customHeight="1" x14ac:dyDescent="0.2"/>
    <row r="76" s="13" customFormat="1" ht="15" customHeight="1" x14ac:dyDescent="0.2"/>
    <row r="77" s="13" customFormat="1" ht="15" customHeight="1" x14ac:dyDescent="0.2"/>
    <row r="78" s="13" customFormat="1" ht="15" customHeight="1" x14ac:dyDescent="0.2"/>
    <row r="79" s="13" customFormat="1" ht="15" customHeight="1" x14ac:dyDescent="0.2"/>
    <row r="80" s="13" customFormat="1" ht="15" customHeight="1" x14ac:dyDescent="0.2"/>
    <row r="81" s="13" customFormat="1" ht="15" customHeight="1" x14ac:dyDescent="0.2"/>
    <row r="82" s="13" customFormat="1" ht="15" customHeight="1" x14ac:dyDescent="0.2"/>
    <row r="83" s="13" customFormat="1" ht="15" customHeight="1" x14ac:dyDescent="0.2"/>
    <row r="84" s="13" customFormat="1" ht="15" customHeight="1" x14ac:dyDescent="0.2"/>
    <row r="85" s="13" customFormat="1" ht="15" customHeight="1" x14ac:dyDescent="0.2"/>
    <row r="86" s="13" customFormat="1" ht="15" customHeight="1" x14ac:dyDescent="0.2"/>
    <row r="87" s="13" customFormat="1" ht="15" customHeight="1" x14ac:dyDescent="0.2"/>
    <row r="88" s="13" customFormat="1" ht="15" customHeight="1" x14ac:dyDescent="0.2"/>
    <row r="89" s="13" customFormat="1" ht="15" customHeight="1" x14ac:dyDescent="0.2"/>
    <row r="90" s="13" customFormat="1" ht="15" customHeight="1" x14ac:dyDescent="0.2"/>
    <row r="91" s="13" customFormat="1" ht="15" customHeight="1" x14ac:dyDescent="0.2"/>
    <row r="92" s="13" customFormat="1" ht="15" customHeight="1" x14ac:dyDescent="0.2"/>
    <row r="93" s="13" customFormat="1" ht="15" customHeight="1" x14ac:dyDescent="0.2"/>
    <row r="94" s="13" customFormat="1" ht="15" customHeight="1" x14ac:dyDescent="0.2"/>
    <row r="95" s="13" customFormat="1" ht="15" customHeight="1" x14ac:dyDescent="0.2"/>
    <row r="96" s="13" customFormat="1" ht="15" customHeight="1" x14ac:dyDescent="0.2"/>
    <row r="97" s="13" customFormat="1" ht="15" customHeight="1" x14ac:dyDescent="0.2"/>
    <row r="98" s="13" customFormat="1" ht="15" customHeight="1" x14ac:dyDescent="0.2"/>
    <row r="99" s="13" customFormat="1" ht="15" customHeight="1" x14ac:dyDescent="0.2"/>
    <row r="100" s="13" customFormat="1" ht="15" customHeight="1" x14ac:dyDescent="0.2"/>
    <row r="101" s="13" customFormat="1" ht="15" customHeight="1" x14ac:dyDescent="0.2"/>
    <row r="102" s="13" customFormat="1" ht="15" customHeight="1" x14ac:dyDescent="0.2"/>
    <row r="103" s="13" customFormat="1" ht="15" customHeight="1" x14ac:dyDescent="0.2"/>
    <row r="104" s="13" customFormat="1" ht="15" customHeight="1" x14ac:dyDescent="0.2"/>
    <row r="105" s="13" customFormat="1" ht="15" customHeight="1" x14ac:dyDescent="0.2"/>
    <row r="106" s="13" customFormat="1" ht="15" customHeight="1" x14ac:dyDescent="0.2"/>
    <row r="107" s="13" customFormat="1" ht="15" customHeight="1" x14ac:dyDescent="0.2"/>
    <row r="108" s="13" customFormat="1" ht="15" customHeight="1" x14ac:dyDescent="0.2"/>
    <row r="109" s="13" customFormat="1" ht="15" customHeight="1" x14ac:dyDescent="0.2"/>
    <row r="110" s="13" customFormat="1" ht="15" customHeight="1" x14ac:dyDescent="0.2"/>
    <row r="111" s="13" customFormat="1" ht="15" customHeight="1" x14ac:dyDescent="0.2"/>
    <row r="112" s="13" customFormat="1" ht="15" customHeight="1" x14ac:dyDescent="0.2"/>
    <row r="113" s="13" customFormat="1" ht="15" customHeight="1" x14ac:dyDescent="0.2"/>
    <row r="114" s="13" customFormat="1" ht="15" customHeight="1" x14ac:dyDescent="0.2"/>
    <row r="115" s="13" customFormat="1" ht="15" customHeight="1" x14ac:dyDescent="0.2"/>
    <row r="116" s="13" customFormat="1" ht="15" customHeight="1" x14ac:dyDescent="0.2"/>
    <row r="117" s="13" customFormat="1" ht="15" customHeight="1" x14ac:dyDescent="0.2"/>
    <row r="118" s="13" customFormat="1" ht="15" customHeight="1" x14ac:dyDescent="0.2"/>
    <row r="119" s="13" customFormat="1" ht="15" customHeight="1" x14ac:dyDescent="0.2"/>
  </sheetData>
  <customSheetViews>
    <customSheetView guid="{B7440494-8EA9-4463-9947-E5D20E74049D}" showGridLines="0">
      <pane xSplit="1" ySplit="10" topLeftCell="AE11" activePane="bottomRight" state="frozen"/>
      <selection pane="bottomRight" activeCell="AO11" sqref="AO11"/>
      <pageMargins left="0" right="0" top="0.78740157480314965" bottom="0" header="0" footer="0"/>
      <printOptions horizontalCentered="1"/>
      <pageSetup paperSize="9" orientation="landscape" horizontalDpi="1200" verticalDpi="1200" r:id="rId1"/>
      <headerFooter alignWithMargins="0">
        <oddHeader>&amp;R&amp;P/&amp;N</oddHeader>
      </headerFooter>
    </customSheetView>
    <customSheetView guid="{6D89F6EF-F5AD-478F-979A-5AF1BC78EF91}" showGridLines="0">
      <selection activeCell="C10" sqref="C10"/>
      <colBreaks count="2" manualBreakCount="2">
        <brk id="25" max="34" man="1"/>
        <brk id="41" max="35" man="1"/>
      </colBreaks>
      <pageMargins left="0" right="0" top="0.74803149606299213" bottom="0" header="0" footer="0"/>
      <printOptions horizontalCentered="1" verticalCentered="1"/>
      <pageSetup paperSize="9" orientation="landscape" horizontalDpi="1200" verticalDpi="1200" r:id="rId2"/>
      <headerFooter alignWithMargins="0"/>
    </customSheetView>
    <customSheetView guid="{A9134056-6B1C-4A42-AFE9-9712EF3EF3D4}" showPageBreaks="1" showGridLines="0" printArea="1">
      <selection activeCell="C10" sqref="C10"/>
      <colBreaks count="4" manualBreakCount="4">
        <brk id="9" min="1" max="35" man="1"/>
        <brk id="17" min="1" max="35" man="1"/>
        <brk id="25" max="34" man="1"/>
        <brk id="41" max="35" man="1"/>
      </colBreaks>
      <pageMargins left="0" right="0" top="0.74803149606299213" bottom="0" header="0" footer="0"/>
      <printOptions horizontalCentered="1" verticalCentered="1"/>
      <pageSetup paperSize="9" orientation="landscape" horizontalDpi="1200" verticalDpi="1200" r:id="rId3"/>
      <headerFooter alignWithMargins="0"/>
    </customSheetView>
  </customSheetViews>
  <hyperlinks>
    <hyperlink ref="AS6" location="Índex!E9" display="Índex"/>
  </hyperlinks>
  <printOptions horizontalCentered="1"/>
  <pageMargins left="0" right="0" top="0.39370078740157483" bottom="0" header="0" footer="0"/>
  <pageSetup paperSize="9" orientation="landscape" horizontalDpi="1200" verticalDpi="1200" r:id="rId4"/>
  <headerFooter alignWithMargins="0">
    <oddHeader>&amp;R&amp;P/&amp;N</oddHeader>
  </headerFooter>
  <colBreaks count="5" manualBreakCount="5">
    <brk id="9" min="1" max="21" man="1"/>
    <brk id="17" min="1" max="21" man="1"/>
    <brk id="25" min="1" max="21" man="1"/>
    <brk id="33" min="1" max="21" man="1"/>
    <brk id="41" min="1" max="21" man="1"/>
  </colBreaks>
  <drawing r:id="rId5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30"/>
  <dimension ref="A1:DQ116"/>
  <sheetViews>
    <sheetView showGridLines="0" zoomScaleNormal="100" workbookViewId="0">
      <pane xSplit="1" ySplit="8" topLeftCell="AH9" activePane="bottomRight" state="frozen"/>
      <selection activeCell="E9" sqref="E9"/>
      <selection pane="topRight" activeCell="E9" sqref="E9"/>
      <selection pane="bottomLeft" activeCell="E9" sqref="E9"/>
      <selection pane="bottomRight" activeCell="E9" sqref="E9"/>
    </sheetView>
  </sheetViews>
  <sheetFormatPr defaultColWidth="10.28515625" defaultRowHeight="15" customHeight="1" x14ac:dyDescent="0.2"/>
  <cols>
    <col min="1" max="1" width="44.28515625" style="228" bestFit="1" customWidth="1"/>
    <col min="2" max="37" width="10.7109375" style="1" customWidth="1"/>
    <col min="38" max="16384" width="10.28515625" style="1"/>
  </cols>
  <sheetData>
    <row r="1" spans="1:93" s="25" customFormat="1" ht="15" customHeight="1" x14ac:dyDescent="0.2">
      <c r="A1" s="455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2"/>
      <c r="AW1" s="62"/>
      <c r="AX1" s="62"/>
      <c r="AY1" s="62"/>
      <c r="AZ1" s="62"/>
      <c r="BA1" s="62"/>
      <c r="BB1" s="62"/>
      <c r="BC1" s="62"/>
      <c r="BD1" s="62"/>
      <c r="BE1" s="62"/>
      <c r="BF1" s="62"/>
      <c r="BG1" s="62"/>
      <c r="BH1" s="62"/>
      <c r="BI1" s="62"/>
      <c r="BJ1" s="56"/>
      <c r="BK1" s="56"/>
      <c r="BL1" s="56"/>
      <c r="BM1" s="56"/>
      <c r="BN1" s="56"/>
      <c r="BO1" s="56"/>
      <c r="BP1" s="56"/>
      <c r="BQ1" s="56"/>
      <c r="BR1" s="56"/>
      <c r="BS1" s="56"/>
      <c r="BT1" s="56"/>
      <c r="BU1" s="56"/>
    </row>
    <row r="2" spans="1:93" s="25" customFormat="1" ht="15" customHeight="1" x14ac:dyDescent="0.25">
      <c r="A2" s="179"/>
      <c r="B2" s="199"/>
      <c r="C2" s="56"/>
      <c r="D2" s="56"/>
      <c r="E2" s="216"/>
      <c r="F2" s="216"/>
      <c r="G2" s="216"/>
      <c r="H2" s="56"/>
      <c r="I2" s="56"/>
      <c r="J2" s="56"/>
      <c r="K2" s="21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  <c r="BM2" s="56"/>
      <c r="BN2" s="56"/>
      <c r="BO2" s="56"/>
      <c r="BP2" s="56"/>
      <c r="BQ2" s="56"/>
      <c r="BR2" s="56"/>
      <c r="BS2" s="56"/>
      <c r="BT2" s="56"/>
      <c r="BU2" s="56"/>
    </row>
    <row r="3" spans="1:93" s="25" customFormat="1" ht="15" customHeight="1" x14ac:dyDescent="0.25">
      <c r="A3" s="179"/>
      <c r="B3" s="57"/>
      <c r="C3" s="61"/>
      <c r="D3" s="57"/>
      <c r="E3" s="217"/>
      <c r="F3" s="217"/>
      <c r="G3" s="217"/>
      <c r="H3" s="57"/>
      <c r="I3" s="57"/>
      <c r="J3" s="57"/>
      <c r="K3" s="21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7"/>
      <c r="BT3" s="57"/>
      <c r="BU3" s="57"/>
    </row>
    <row r="4" spans="1:93" s="25" customFormat="1" ht="15" customHeight="1" x14ac:dyDescent="0.2">
      <c r="A4" s="456"/>
      <c r="B4" s="58"/>
      <c r="C4" s="58"/>
      <c r="D4" s="58"/>
      <c r="E4" s="218"/>
      <c r="F4" s="218"/>
      <c r="G4" s="218"/>
      <c r="H4" s="58"/>
      <c r="I4" s="58"/>
      <c r="J4" s="58"/>
      <c r="K4" s="21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  <c r="CG4" s="198"/>
      <c r="CH4" s="198"/>
      <c r="CI4" s="198"/>
      <c r="CJ4" s="198"/>
      <c r="CK4" s="198"/>
      <c r="CL4" s="198"/>
      <c r="CM4" s="198"/>
      <c r="CN4" s="198"/>
      <c r="CO4" s="198"/>
    </row>
    <row r="5" spans="1:93" s="25" customFormat="1" ht="19.5" thickBot="1" x14ac:dyDescent="0.35">
      <c r="A5" s="190" t="s">
        <v>556</v>
      </c>
      <c r="B5" s="61"/>
      <c r="C5" s="59"/>
      <c r="D5" s="61"/>
      <c r="E5" s="59"/>
      <c r="F5" s="114"/>
      <c r="G5" s="59"/>
      <c r="H5" s="112"/>
      <c r="I5" s="59"/>
      <c r="J5" s="59"/>
      <c r="K5" s="59"/>
      <c r="L5" s="59"/>
      <c r="M5" s="59"/>
      <c r="N5" s="59"/>
      <c r="O5" s="59"/>
      <c r="P5" s="59"/>
      <c r="Q5" s="59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59"/>
      <c r="BR5" s="59"/>
      <c r="BS5" s="59"/>
      <c r="BT5" s="59"/>
      <c r="BU5" s="59"/>
      <c r="BW5" s="114"/>
      <c r="CA5" s="114"/>
      <c r="CC5" s="134"/>
      <c r="CF5" s="65"/>
      <c r="CG5" s="194"/>
      <c r="CH5" s="194"/>
      <c r="CI5" s="194"/>
      <c r="CJ5" s="225"/>
      <c r="CK5" s="194"/>
      <c r="CL5" s="194"/>
      <c r="CM5" s="194"/>
      <c r="CN5" s="194"/>
      <c r="CO5" s="198"/>
    </row>
    <row r="6" spans="1:93" s="236" customFormat="1" ht="15" customHeight="1" thickTop="1" x14ac:dyDescent="0.2">
      <c r="A6" s="475"/>
      <c r="B6" s="234"/>
      <c r="C6" s="235"/>
      <c r="D6" s="235"/>
      <c r="E6" s="235"/>
      <c r="AL6" s="133"/>
      <c r="AN6" s="133"/>
      <c r="AO6" s="133"/>
      <c r="AP6" s="400"/>
      <c r="AQ6" s="400"/>
      <c r="AR6" s="400"/>
      <c r="AS6" s="400" t="s">
        <v>662</v>
      </c>
    </row>
    <row r="7" spans="1:93" s="183" customFormat="1" ht="15" customHeight="1" x14ac:dyDescent="0.2">
      <c r="A7" s="182"/>
      <c r="B7" s="664" t="s">
        <v>401</v>
      </c>
      <c r="C7" s="664" t="s">
        <v>402</v>
      </c>
      <c r="D7" s="664" t="s">
        <v>403</v>
      </c>
      <c r="E7" s="664" t="s">
        <v>404</v>
      </c>
      <c r="F7" s="664" t="s">
        <v>405</v>
      </c>
      <c r="G7" s="664" t="s">
        <v>406</v>
      </c>
      <c r="H7" s="664" t="s">
        <v>407</v>
      </c>
      <c r="I7" s="664" t="s">
        <v>408</v>
      </c>
      <c r="J7" s="664" t="s">
        <v>409</v>
      </c>
      <c r="K7" s="664" t="s">
        <v>410</v>
      </c>
      <c r="L7" s="664" t="s">
        <v>411</v>
      </c>
      <c r="M7" s="664" t="s">
        <v>412</v>
      </c>
      <c r="N7" s="664" t="s">
        <v>413</v>
      </c>
      <c r="O7" s="664" t="s">
        <v>414</v>
      </c>
      <c r="P7" s="664" t="s">
        <v>415</v>
      </c>
      <c r="Q7" s="664" t="s">
        <v>416</v>
      </c>
      <c r="R7" s="664" t="s">
        <v>417</v>
      </c>
      <c r="S7" s="664" t="s">
        <v>418</v>
      </c>
      <c r="T7" s="664" t="s">
        <v>419</v>
      </c>
      <c r="U7" s="664" t="s">
        <v>420</v>
      </c>
      <c r="V7" s="664" t="s">
        <v>421</v>
      </c>
      <c r="W7" s="664" t="s">
        <v>422</v>
      </c>
      <c r="X7" s="664" t="s">
        <v>423</v>
      </c>
      <c r="Y7" s="664" t="s">
        <v>424</v>
      </c>
      <c r="Z7" s="664" t="s">
        <v>425</v>
      </c>
      <c r="AA7" s="664" t="s">
        <v>426</v>
      </c>
      <c r="AB7" s="664" t="s">
        <v>427</v>
      </c>
      <c r="AC7" s="664" t="s">
        <v>428</v>
      </c>
      <c r="AD7" s="664" t="s">
        <v>429</v>
      </c>
      <c r="AE7" s="664" t="s">
        <v>430</v>
      </c>
      <c r="AF7" s="664" t="s">
        <v>431</v>
      </c>
      <c r="AG7" s="664" t="s">
        <v>432</v>
      </c>
      <c r="AH7" s="664" t="s">
        <v>433</v>
      </c>
      <c r="AI7" s="664" t="s">
        <v>434</v>
      </c>
      <c r="AJ7" s="664" t="s">
        <v>543</v>
      </c>
      <c r="AK7" s="664" t="s">
        <v>435</v>
      </c>
      <c r="AL7" s="664" t="s">
        <v>436</v>
      </c>
      <c r="AM7" s="664" t="s">
        <v>437</v>
      </c>
      <c r="AN7" s="664" t="s">
        <v>438</v>
      </c>
      <c r="AO7" s="664" t="s">
        <v>450</v>
      </c>
      <c r="AP7" s="664" t="s">
        <v>451</v>
      </c>
      <c r="AQ7" s="664" t="s">
        <v>452</v>
      </c>
      <c r="AR7" s="664" t="s">
        <v>453</v>
      </c>
      <c r="AS7" s="664" t="s">
        <v>454</v>
      </c>
      <c r="CC7" s="243"/>
    </row>
    <row r="8" spans="1:93" s="178" customFormat="1" ht="9.9499999999999993" customHeight="1" x14ac:dyDescent="0.2">
      <c r="A8" s="233"/>
      <c r="B8" s="233"/>
      <c r="C8" s="233"/>
      <c r="D8" s="233"/>
      <c r="E8" s="233"/>
      <c r="F8" s="233"/>
      <c r="G8" s="233"/>
      <c r="H8" s="233"/>
      <c r="I8" s="233"/>
      <c r="J8" s="233"/>
      <c r="K8" s="233"/>
      <c r="L8" s="233"/>
      <c r="M8" s="233"/>
      <c r="N8" s="233"/>
      <c r="O8" s="233"/>
      <c r="P8" s="233"/>
      <c r="Q8" s="233"/>
      <c r="R8" s="233"/>
      <c r="S8" s="233"/>
      <c r="T8" s="233"/>
      <c r="U8" s="233"/>
      <c r="V8" s="233"/>
      <c r="W8" s="233"/>
      <c r="X8" s="233"/>
      <c r="Y8" s="233"/>
      <c r="Z8" s="233"/>
      <c r="AA8" s="233"/>
      <c r="AB8" s="233"/>
      <c r="AC8" s="233"/>
      <c r="AD8" s="233"/>
      <c r="AE8" s="233"/>
      <c r="AF8" s="233"/>
      <c r="AG8" s="233"/>
      <c r="AH8" s="233"/>
      <c r="AI8" s="233"/>
      <c r="AJ8" s="233"/>
      <c r="AK8" s="233"/>
      <c r="AL8" s="233"/>
      <c r="AM8" s="233"/>
      <c r="AN8" s="233"/>
      <c r="AO8" s="233"/>
      <c r="AP8" s="233"/>
      <c r="AQ8" s="233"/>
      <c r="AR8" s="233"/>
      <c r="AS8" s="233"/>
      <c r="AT8" s="191"/>
      <c r="AU8" s="191"/>
      <c r="AV8" s="191"/>
      <c r="AW8" s="191"/>
      <c r="AX8" s="191"/>
      <c r="AY8" s="191"/>
      <c r="AZ8" s="191"/>
      <c r="BA8" s="191"/>
      <c r="BB8" s="191"/>
      <c r="BC8" s="191"/>
      <c r="BD8" s="191"/>
      <c r="BE8" s="191"/>
      <c r="BF8" s="191"/>
      <c r="BG8" s="191"/>
      <c r="BH8" s="191"/>
      <c r="BI8" s="191"/>
      <c r="BJ8" s="191"/>
      <c r="BK8" s="191"/>
      <c r="BL8" s="191"/>
      <c r="BM8" s="191"/>
      <c r="BN8" s="191"/>
      <c r="BO8" s="191"/>
      <c r="BP8" s="191"/>
      <c r="BQ8" s="191"/>
      <c r="BR8" s="191"/>
      <c r="BS8" s="191"/>
      <c r="BT8" s="191"/>
      <c r="BU8" s="191"/>
      <c r="BV8" s="191"/>
      <c r="BW8" s="191"/>
      <c r="BX8" s="191"/>
      <c r="BY8" s="191"/>
      <c r="BZ8" s="191"/>
      <c r="CA8" s="191"/>
      <c r="CB8" s="191"/>
      <c r="CC8" s="191"/>
      <c r="CD8" s="191"/>
    </row>
    <row r="9" spans="1:93" s="178" customFormat="1" ht="5.0999999999999996" customHeight="1" x14ac:dyDescent="0.2">
      <c r="A9" s="476"/>
      <c r="B9" s="203"/>
      <c r="C9" s="203"/>
      <c r="D9" s="203"/>
      <c r="E9" s="203"/>
      <c r="F9" s="203"/>
      <c r="G9" s="203"/>
      <c r="H9" s="203"/>
      <c r="I9" s="203"/>
      <c r="J9" s="203"/>
      <c r="K9" s="203"/>
      <c r="L9" s="203"/>
      <c r="M9" s="203"/>
      <c r="N9" s="203"/>
      <c r="O9" s="203"/>
      <c r="P9" s="203"/>
      <c r="Q9" s="203"/>
      <c r="R9" s="203"/>
      <c r="S9" s="203"/>
      <c r="T9" s="203"/>
      <c r="U9" s="203"/>
      <c r="V9" s="203"/>
      <c r="W9" s="203"/>
      <c r="X9" s="203"/>
      <c r="Y9" s="203"/>
      <c r="Z9" s="203"/>
      <c r="AA9" s="203"/>
      <c r="AB9" s="203"/>
      <c r="AC9" s="203"/>
      <c r="AD9" s="203"/>
      <c r="AE9" s="203"/>
      <c r="AF9" s="203"/>
      <c r="AG9" s="203"/>
      <c r="AH9" s="203"/>
      <c r="AI9" s="203"/>
      <c r="AJ9" s="203"/>
      <c r="AK9" s="203"/>
      <c r="AL9" s="203"/>
      <c r="AM9" s="203"/>
      <c r="AN9" s="203"/>
      <c r="AO9" s="203"/>
      <c r="AP9" s="203"/>
      <c r="AQ9" s="203"/>
      <c r="AR9" s="203"/>
      <c r="AS9" s="203"/>
      <c r="AT9" s="203"/>
      <c r="AU9" s="203"/>
      <c r="AV9" s="203"/>
      <c r="AW9" s="203"/>
      <c r="AX9" s="203"/>
      <c r="AY9" s="203"/>
      <c r="AZ9" s="203"/>
      <c r="BA9" s="203"/>
      <c r="BB9" s="203"/>
      <c r="BC9" s="203"/>
      <c r="BD9" s="203"/>
      <c r="BE9" s="203"/>
      <c r="BF9" s="203"/>
      <c r="BG9" s="203"/>
      <c r="BH9" s="203"/>
      <c r="BI9" s="203"/>
      <c r="BJ9" s="203"/>
      <c r="BK9" s="203"/>
      <c r="BL9" s="203"/>
      <c r="BM9" s="203"/>
      <c r="BN9" s="203"/>
      <c r="BO9" s="203"/>
      <c r="BP9" s="203"/>
      <c r="BQ9" s="203"/>
      <c r="BR9" s="203"/>
      <c r="BS9" s="203"/>
      <c r="BT9" s="203"/>
      <c r="BU9" s="203"/>
      <c r="BV9" s="203"/>
      <c r="BW9" s="203"/>
      <c r="BX9" s="203"/>
      <c r="BY9" s="203"/>
      <c r="BZ9" s="203"/>
      <c r="CA9" s="203"/>
      <c r="CB9" s="203"/>
      <c r="CC9" s="203"/>
      <c r="CD9" s="203"/>
    </row>
    <row r="10" spans="1:93" s="228" customFormat="1" ht="15" customHeight="1" x14ac:dyDescent="0.2">
      <c r="A10" s="226" t="s">
        <v>557</v>
      </c>
      <c r="B10" s="253">
        <v>306</v>
      </c>
      <c r="C10" s="253">
        <v>351</v>
      </c>
      <c r="D10" s="253">
        <v>400</v>
      </c>
      <c r="E10" s="253">
        <v>441</v>
      </c>
      <c r="F10" s="253">
        <v>355</v>
      </c>
      <c r="G10" s="253">
        <v>384</v>
      </c>
      <c r="H10" s="253">
        <v>526</v>
      </c>
      <c r="I10" s="253">
        <v>577</v>
      </c>
      <c r="J10" s="254">
        <v>523</v>
      </c>
      <c r="K10" s="254">
        <v>544</v>
      </c>
      <c r="L10" s="254">
        <v>638</v>
      </c>
      <c r="M10" s="254">
        <v>702</v>
      </c>
      <c r="N10" s="254">
        <v>724</v>
      </c>
      <c r="O10" s="254">
        <v>730</v>
      </c>
      <c r="P10" s="254">
        <v>791</v>
      </c>
      <c r="Q10" s="254">
        <v>885</v>
      </c>
      <c r="R10" s="254">
        <v>839</v>
      </c>
      <c r="S10" s="254">
        <v>874</v>
      </c>
      <c r="T10" s="254">
        <v>936</v>
      </c>
      <c r="U10" s="254">
        <v>961</v>
      </c>
      <c r="V10" s="254">
        <v>832</v>
      </c>
      <c r="W10" s="254">
        <v>832</v>
      </c>
      <c r="X10" s="254">
        <v>897</v>
      </c>
      <c r="Y10" s="254">
        <v>846</v>
      </c>
      <c r="Z10" s="254">
        <v>945</v>
      </c>
      <c r="AA10" s="254">
        <v>966</v>
      </c>
      <c r="AB10" s="254">
        <v>1008</v>
      </c>
      <c r="AC10" s="254">
        <v>1063</v>
      </c>
      <c r="AD10" s="254">
        <v>903</v>
      </c>
      <c r="AE10" s="254">
        <v>924</v>
      </c>
      <c r="AF10" s="254">
        <v>974</v>
      </c>
      <c r="AG10" s="254">
        <v>1109</v>
      </c>
      <c r="AH10" s="254">
        <v>904</v>
      </c>
      <c r="AI10" s="254">
        <v>1014</v>
      </c>
      <c r="AJ10" s="254">
        <v>1064</v>
      </c>
      <c r="AK10" s="254">
        <v>1142</v>
      </c>
      <c r="AL10" s="254">
        <v>993</v>
      </c>
      <c r="AM10" s="254">
        <v>1067</v>
      </c>
      <c r="AN10" s="254">
        <v>1305</v>
      </c>
      <c r="AO10" s="254">
        <v>1406</v>
      </c>
      <c r="AP10" s="254">
        <v>1195</v>
      </c>
      <c r="AQ10" s="254">
        <v>1191</v>
      </c>
      <c r="AR10" s="254">
        <v>1234</v>
      </c>
      <c r="AS10" s="421">
        <v>1279</v>
      </c>
    </row>
    <row r="11" spans="1:93" s="228" customFormat="1" ht="15" customHeight="1" x14ac:dyDescent="0.2">
      <c r="A11" s="226" t="s">
        <v>128</v>
      </c>
      <c r="B11" s="253">
        <v>228</v>
      </c>
      <c r="C11" s="253">
        <v>241</v>
      </c>
      <c r="D11" s="253">
        <v>247</v>
      </c>
      <c r="E11" s="253">
        <v>261</v>
      </c>
      <c r="F11" s="253">
        <v>270</v>
      </c>
      <c r="G11" s="253">
        <v>265</v>
      </c>
      <c r="H11" s="253">
        <v>274</v>
      </c>
      <c r="I11" s="253">
        <v>295</v>
      </c>
      <c r="J11" s="254">
        <v>293</v>
      </c>
      <c r="K11" s="254">
        <v>302</v>
      </c>
      <c r="L11" s="254">
        <v>298</v>
      </c>
      <c r="M11" s="254">
        <v>328</v>
      </c>
      <c r="N11" s="254">
        <v>335</v>
      </c>
      <c r="O11" s="254">
        <v>343</v>
      </c>
      <c r="P11" s="254">
        <v>348</v>
      </c>
      <c r="Q11" s="254">
        <v>382</v>
      </c>
      <c r="R11" s="254">
        <v>377</v>
      </c>
      <c r="S11" s="254">
        <v>391</v>
      </c>
      <c r="T11" s="254">
        <v>408</v>
      </c>
      <c r="U11" s="254">
        <v>402</v>
      </c>
      <c r="V11" s="254">
        <v>410</v>
      </c>
      <c r="W11" s="254">
        <v>415</v>
      </c>
      <c r="X11" s="254">
        <v>416</v>
      </c>
      <c r="Y11" s="254">
        <v>421</v>
      </c>
      <c r="Z11" s="254">
        <v>393</v>
      </c>
      <c r="AA11" s="254">
        <v>403</v>
      </c>
      <c r="AB11" s="254">
        <v>399</v>
      </c>
      <c r="AC11" s="254">
        <v>413</v>
      </c>
      <c r="AD11" s="254">
        <v>376</v>
      </c>
      <c r="AE11" s="254">
        <v>378</v>
      </c>
      <c r="AF11" s="254">
        <v>382</v>
      </c>
      <c r="AG11" s="254">
        <v>388</v>
      </c>
      <c r="AH11" s="254">
        <v>391</v>
      </c>
      <c r="AI11" s="254">
        <v>421</v>
      </c>
      <c r="AJ11" s="254">
        <v>425</v>
      </c>
      <c r="AK11" s="254">
        <v>416</v>
      </c>
      <c r="AL11" s="254">
        <v>419</v>
      </c>
      <c r="AM11" s="254">
        <v>450</v>
      </c>
      <c r="AN11" s="254">
        <v>491</v>
      </c>
      <c r="AO11" s="254">
        <v>516</v>
      </c>
      <c r="AP11" s="254">
        <v>484</v>
      </c>
      <c r="AQ11" s="254">
        <v>445</v>
      </c>
      <c r="AR11" s="254">
        <v>473</v>
      </c>
      <c r="AS11" s="421">
        <v>463</v>
      </c>
    </row>
    <row r="12" spans="1:93" s="228" customFormat="1" ht="15" customHeight="1" x14ac:dyDescent="0.2">
      <c r="A12" s="226" t="s">
        <v>129</v>
      </c>
      <c r="B12" s="253">
        <v>107</v>
      </c>
      <c r="C12" s="253">
        <v>129</v>
      </c>
      <c r="D12" s="253">
        <v>133</v>
      </c>
      <c r="E12" s="253">
        <v>229</v>
      </c>
      <c r="F12" s="253">
        <v>122</v>
      </c>
      <c r="G12" s="253">
        <v>160</v>
      </c>
      <c r="H12" s="253">
        <v>150</v>
      </c>
      <c r="I12" s="253">
        <v>211</v>
      </c>
      <c r="J12" s="254">
        <v>110</v>
      </c>
      <c r="K12" s="254">
        <v>84</v>
      </c>
      <c r="L12" s="254">
        <v>112</v>
      </c>
      <c r="M12" s="254">
        <v>283</v>
      </c>
      <c r="N12" s="254">
        <v>152</v>
      </c>
      <c r="O12" s="254">
        <v>158</v>
      </c>
      <c r="P12" s="254">
        <v>212</v>
      </c>
      <c r="Q12" s="254">
        <v>285</v>
      </c>
      <c r="R12" s="254">
        <v>202</v>
      </c>
      <c r="S12" s="254">
        <v>194</v>
      </c>
      <c r="T12" s="254">
        <v>211</v>
      </c>
      <c r="U12" s="254">
        <v>330</v>
      </c>
      <c r="V12" s="254">
        <v>153</v>
      </c>
      <c r="W12" s="254">
        <v>162</v>
      </c>
      <c r="X12" s="254">
        <v>208</v>
      </c>
      <c r="Y12" s="254">
        <v>276</v>
      </c>
      <c r="Z12" s="254">
        <v>161</v>
      </c>
      <c r="AA12" s="254">
        <v>169</v>
      </c>
      <c r="AB12" s="254">
        <v>163</v>
      </c>
      <c r="AC12" s="254">
        <v>300</v>
      </c>
      <c r="AD12" s="254">
        <v>178</v>
      </c>
      <c r="AE12" s="254">
        <v>170</v>
      </c>
      <c r="AF12" s="254">
        <v>184</v>
      </c>
      <c r="AG12" s="254">
        <v>401</v>
      </c>
      <c r="AH12" s="254">
        <v>133</v>
      </c>
      <c r="AI12" s="254">
        <v>207</v>
      </c>
      <c r="AJ12" s="254">
        <v>318</v>
      </c>
      <c r="AK12" s="254">
        <v>406</v>
      </c>
      <c r="AL12" s="254">
        <v>221</v>
      </c>
      <c r="AM12" s="254">
        <v>285</v>
      </c>
      <c r="AN12" s="254">
        <v>419</v>
      </c>
      <c r="AO12" s="254">
        <v>353</v>
      </c>
      <c r="AP12" s="254">
        <v>170</v>
      </c>
      <c r="AQ12" s="254">
        <v>217</v>
      </c>
      <c r="AR12" s="254">
        <v>278</v>
      </c>
      <c r="AS12" s="421">
        <v>414</v>
      </c>
    </row>
    <row r="13" spans="1:93" s="228" customFormat="1" ht="15" customHeight="1" x14ac:dyDescent="0.2">
      <c r="A13" s="226" t="s">
        <v>558</v>
      </c>
      <c r="B13" s="253">
        <f>134+45</f>
        <v>179</v>
      </c>
      <c r="C13" s="253">
        <f>135+46</f>
        <v>181</v>
      </c>
      <c r="D13" s="253">
        <f>136+63</f>
        <v>199</v>
      </c>
      <c r="E13" s="253">
        <f>138+77</f>
        <v>215</v>
      </c>
      <c r="F13" s="253">
        <f>139+74</f>
        <v>213</v>
      </c>
      <c r="G13" s="253">
        <f>174+87</f>
        <v>261</v>
      </c>
      <c r="H13" s="253">
        <f>150+89</f>
        <v>239</v>
      </c>
      <c r="I13" s="253">
        <f>151+102</f>
        <v>253</v>
      </c>
      <c r="J13" s="254">
        <f>157+108</f>
        <v>265</v>
      </c>
      <c r="K13" s="254">
        <f>170+107</f>
        <v>277</v>
      </c>
      <c r="L13" s="254">
        <f>186+87</f>
        <v>273</v>
      </c>
      <c r="M13" s="254">
        <f>203+99</f>
        <v>302</v>
      </c>
      <c r="N13" s="254">
        <f>221+98</f>
        <v>319</v>
      </c>
      <c r="O13" s="254">
        <f>238+87</f>
        <v>325</v>
      </c>
      <c r="P13" s="254">
        <f>250+87</f>
        <v>337</v>
      </c>
      <c r="Q13" s="254">
        <f>258+92</f>
        <v>350</v>
      </c>
      <c r="R13" s="254">
        <f>271+89</f>
        <v>360</v>
      </c>
      <c r="S13" s="254">
        <f>266+82</f>
        <v>348</v>
      </c>
      <c r="T13" s="254">
        <f>277+87</f>
        <v>364</v>
      </c>
      <c r="U13" s="254">
        <f>280+99</f>
        <v>379</v>
      </c>
      <c r="V13" s="254">
        <f>301+100</f>
        <v>401</v>
      </c>
      <c r="W13" s="254">
        <f>308+96</f>
        <v>404</v>
      </c>
      <c r="X13" s="254">
        <f>306+87</f>
        <v>393</v>
      </c>
      <c r="Y13" s="254">
        <f>316+78</f>
        <v>394</v>
      </c>
      <c r="Z13" s="254">
        <f>319+77</f>
        <v>396</v>
      </c>
      <c r="AA13" s="254">
        <f>331+82</f>
        <v>413</v>
      </c>
      <c r="AB13" s="254">
        <f>340+81</f>
        <v>421</v>
      </c>
      <c r="AC13" s="254">
        <v>435</v>
      </c>
      <c r="AD13" s="254">
        <v>452</v>
      </c>
      <c r="AE13" s="254">
        <v>466</v>
      </c>
      <c r="AF13" s="254">
        <v>486</v>
      </c>
      <c r="AG13" s="254">
        <v>502</v>
      </c>
      <c r="AH13" s="254">
        <v>506</v>
      </c>
      <c r="AI13" s="254">
        <v>518</v>
      </c>
      <c r="AJ13" s="254">
        <v>538</v>
      </c>
      <c r="AK13" s="254">
        <v>559</v>
      </c>
      <c r="AL13" s="254">
        <v>566</v>
      </c>
      <c r="AM13" s="254">
        <v>581</v>
      </c>
      <c r="AN13" s="254">
        <v>679</v>
      </c>
      <c r="AO13" s="254">
        <v>676</v>
      </c>
      <c r="AP13" s="254">
        <v>681</v>
      </c>
      <c r="AQ13" s="254">
        <v>687</v>
      </c>
      <c r="AR13" s="254">
        <v>693</v>
      </c>
      <c r="AS13" s="421">
        <v>687</v>
      </c>
    </row>
    <row r="14" spans="1:93" s="228" customFormat="1" ht="15" customHeight="1" x14ac:dyDescent="0.2">
      <c r="A14" s="226" t="s">
        <v>559</v>
      </c>
      <c r="B14" s="253">
        <v>31</v>
      </c>
      <c r="C14" s="253">
        <v>32</v>
      </c>
      <c r="D14" s="253">
        <v>36</v>
      </c>
      <c r="E14" s="253">
        <v>38</v>
      </c>
      <c r="F14" s="253">
        <v>45</v>
      </c>
      <c r="G14" s="253">
        <v>50</v>
      </c>
      <c r="H14" s="253">
        <v>56</v>
      </c>
      <c r="I14" s="253">
        <v>64</v>
      </c>
      <c r="J14" s="254">
        <v>62</v>
      </c>
      <c r="K14" s="254">
        <v>62</v>
      </c>
      <c r="L14" s="254">
        <v>67</v>
      </c>
      <c r="M14" s="254">
        <v>89</v>
      </c>
      <c r="N14" s="254">
        <v>86</v>
      </c>
      <c r="O14" s="254">
        <v>92</v>
      </c>
      <c r="P14" s="254">
        <v>89</v>
      </c>
      <c r="Q14" s="254">
        <v>101</v>
      </c>
      <c r="R14" s="254">
        <v>109</v>
      </c>
      <c r="S14" s="254">
        <v>127</v>
      </c>
      <c r="T14" s="254">
        <v>135</v>
      </c>
      <c r="U14" s="254">
        <v>147</v>
      </c>
      <c r="V14" s="254">
        <v>163</v>
      </c>
      <c r="W14" s="254">
        <v>163</v>
      </c>
      <c r="X14" s="254">
        <v>162</v>
      </c>
      <c r="Y14" s="254">
        <v>168</v>
      </c>
      <c r="Z14" s="254">
        <v>179</v>
      </c>
      <c r="AA14" s="254">
        <v>189</v>
      </c>
      <c r="AB14" s="254">
        <v>187</v>
      </c>
      <c r="AC14" s="254">
        <v>178</v>
      </c>
      <c r="AD14" s="254">
        <v>197</v>
      </c>
      <c r="AE14" s="254">
        <v>188</v>
      </c>
      <c r="AF14" s="254">
        <v>196</v>
      </c>
      <c r="AG14" s="254">
        <v>193</v>
      </c>
      <c r="AH14" s="254">
        <v>198</v>
      </c>
      <c r="AI14" s="254">
        <v>195</v>
      </c>
      <c r="AJ14" s="254">
        <v>214</v>
      </c>
      <c r="AK14" s="254">
        <v>228</v>
      </c>
      <c r="AL14" s="254">
        <v>228</v>
      </c>
      <c r="AM14" s="254">
        <v>220</v>
      </c>
      <c r="AN14" s="254">
        <v>315</v>
      </c>
      <c r="AO14" s="254">
        <v>259</v>
      </c>
      <c r="AP14" s="254">
        <v>258</v>
      </c>
      <c r="AQ14" s="254">
        <v>257</v>
      </c>
      <c r="AR14" s="254">
        <v>254</v>
      </c>
      <c r="AS14" s="421">
        <v>251</v>
      </c>
    </row>
    <row r="15" spans="1:93" s="228" customFormat="1" ht="15" customHeight="1" x14ac:dyDescent="0.2">
      <c r="A15" s="226" t="s">
        <v>130</v>
      </c>
      <c r="B15" s="253">
        <v>129</v>
      </c>
      <c r="C15" s="253">
        <v>129</v>
      </c>
      <c r="D15" s="253">
        <v>138</v>
      </c>
      <c r="E15" s="253">
        <v>149</v>
      </c>
      <c r="F15" s="253">
        <v>119</v>
      </c>
      <c r="G15" s="253">
        <v>126</v>
      </c>
      <c r="H15" s="253">
        <v>132</v>
      </c>
      <c r="I15" s="253">
        <v>135</v>
      </c>
      <c r="J15" s="254">
        <v>127</v>
      </c>
      <c r="K15" s="254">
        <v>111</v>
      </c>
      <c r="L15" s="254">
        <v>138</v>
      </c>
      <c r="M15" s="254">
        <v>150</v>
      </c>
      <c r="N15" s="254">
        <v>142</v>
      </c>
      <c r="O15" s="254">
        <v>161</v>
      </c>
      <c r="P15" s="254">
        <v>163</v>
      </c>
      <c r="Q15" s="254">
        <v>177</v>
      </c>
      <c r="R15" s="254">
        <v>179</v>
      </c>
      <c r="S15" s="254">
        <v>180</v>
      </c>
      <c r="T15" s="254">
        <v>201</v>
      </c>
      <c r="U15" s="254">
        <v>224</v>
      </c>
      <c r="V15" s="254">
        <v>212</v>
      </c>
      <c r="W15" s="254">
        <v>215</v>
      </c>
      <c r="X15" s="254">
        <v>215</v>
      </c>
      <c r="Y15" s="254">
        <v>225</v>
      </c>
      <c r="Z15" s="254">
        <v>199</v>
      </c>
      <c r="AA15" s="254">
        <v>205</v>
      </c>
      <c r="AB15" s="254">
        <v>215</v>
      </c>
      <c r="AC15" s="254">
        <v>213</v>
      </c>
      <c r="AD15" s="254">
        <v>203</v>
      </c>
      <c r="AE15" s="254">
        <v>200</v>
      </c>
      <c r="AF15" s="254">
        <v>193</v>
      </c>
      <c r="AG15" s="254">
        <v>181</v>
      </c>
      <c r="AH15" s="254">
        <v>157</v>
      </c>
      <c r="AI15" s="254">
        <v>155</v>
      </c>
      <c r="AJ15" s="254">
        <v>159</v>
      </c>
      <c r="AK15" s="254">
        <v>171</v>
      </c>
      <c r="AL15" s="254">
        <v>166</v>
      </c>
      <c r="AM15" s="254">
        <v>168</v>
      </c>
      <c r="AN15" s="254">
        <v>194</v>
      </c>
      <c r="AO15" s="254">
        <v>198</v>
      </c>
      <c r="AP15" s="254">
        <v>189</v>
      </c>
      <c r="AQ15" s="254">
        <v>200</v>
      </c>
      <c r="AR15" s="254">
        <v>201</v>
      </c>
      <c r="AS15" s="421">
        <v>206</v>
      </c>
    </row>
    <row r="16" spans="1:93" s="228" customFormat="1" ht="15" customHeight="1" x14ac:dyDescent="0.2">
      <c r="A16" s="226" t="s">
        <v>560</v>
      </c>
      <c r="B16" s="253">
        <v>162</v>
      </c>
      <c r="C16" s="253">
        <v>137</v>
      </c>
      <c r="D16" s="253">
        <v>143</v>
      </c>
      <c r="E16" s="253">
        <v>146</v>
      </c>
      <c r="F16" s="253">
        <v>131</v>
      </c>
      <c r="G16" s="253">
        <v>142</v>
      </c>
      <c r="H16" s="253">
        <v>148</v>
      </c>
      <c r="I16" s="253">
        <v>157</v>
      </c>
      <c r="J16" s="254">
        <v>182</v>
      </c>
      <c r="K16" s="254">
        <v>183</v>
      </c>
      <c r="L16" s="254">
        <v>195</v>
      </c>
      <c r="M16" s="254">
        <v>212</v>
      </c>
      <c r="N16" s="254">
        <v>191</v>
      </c>
      <c r="O16" s="254">
        <v>206</v>
      </c>
      <c r="P16" s="254">
        <v>219</v>
      </c>
      <c r="Q16" s="254">
        <v>261</v>
      </c>
      <c r="R16" s="254">
        <v>226</v>
      </c>
      <c r="S16" s="254">
        <v>219</v>
      </c>
      <c r="T16" s="254">
        <v>247</v>
      </c>
      <c r="U16" s="254">
        <v>243</v>
      </c>
      <c r="V16" s="254">
        <v>262</v>
      </c>
      <c r="W16" s="254">
        <v>268</v>
      </c>
      <c r="X16" s="254">
        <v>277</v>
      </c>
      <c r="Y16" s="254">
        <v>308</v>
      </c>
      <c r="Z16" s="254">
        <v>300</v>
      </c>
      <c r="AA16" s="254">
        <v>322</v>
      </c>
      <c r="AB16" s="254">
        <v>330</v>
      </c>
      <c r="AC16" s="254">
        <v>352</v>
      </c>
      <c r="AD16" s="254">
        <v>306</v>
      </c>
      <c r="AE16" s="254">
        <v>326</v>
      </c>
      <c r="AF16" s="254">
        <v>340</v>
      </c>
      <c r="AG16" s="254">
        <v>369</v>
      </c>
      <c r="AH16" s="254">
        <v>363</v>
      </c>
      <c r="AI16" s="254">
        <v>367</v>
      </c>
      <c r="AJ16" s="254">
        <v>405</v>
      </c>
      <c r="AK16" s="254">
        <v>465</v>
      </c>
      <c r="AL16" s="254">
        <v>446</v>
      </c>
      <c r="AM16" s="254">
        <v>383</v>
      </c>
      <c r="AN16" s="254">
        <v>593</v>
      </c>
      <c r="AO16" s="254">
        <v>578</v>
      </c>
      <c r="AP16" s="254">
        <v>563</v>
      </c>
      <c r="AQ16" s="254">
        <v>568</v>
      </c>
      <c r="AR16" s="254">
        <v>586</v>
      </c>
      <c r="AS16" s="421">
        <v>636</v>
      </c>
    </row>
    <row r="17" spans="1:121" s="246" customFormat="1" ht="15" customHeight="1" x14ac:dyDescent="0.2">
      <c r="A17" s="226" t="s">
        <v>131</v>
      </c>
      <c r="B17" s="253">
        <v>101</v>
      </c>
      <c r="C17" s="253">
        <v>105</v>
      </c>
      <c r="D17" s="253">
        <v>106</v>
      </c>
      <c r="E17" s="253">
        <v>109</v>
      </c>
      <c r="F17" s="253">
        <v>112</v>
      </c>
      <c r="G17" s="253">
        <v>114</v>
      </c>
      <c r="H17" s="253">
        <v>121</v>
      </c>
      <c r="I17" s="253">
        <v>136</v>
      </c>
      <c r="J17" s="93">
        <v>133</v>
      </c>
      <c r="K17" s="93">
        <v>142</v>
      </c>
      <c r="L17" s="93">
        <v>136</v>
      </c>
      <c r="M17" s="93">
        <v>145</v>
      </c>
      <c r="N17" s="93">
        <v>144</v>
      </c>
      <c r="O17" s="93">
        <v>137</v>
      </c>
      <c r="P17" s="93">
        <v>139</v>
      </c>
      <c r="Q17" s="93">
        <v>148</v>
      </c>
      <c r="R17" s="93">
        <v>157</v>
      </c>
      <c r="S17" s="93">
        <v>162</v>
      </c>
      <c r="T17" s="93">
        <v>170</v>
      </c>
      <c r="U17" s="93">
        <v>176</v>
      </c>
      <c r="V17" s="93">
        <v>183</v>
      </c>
      <c r="W17" s="93">
        <v>196</v>
      </c>
      <c r="X17" s="93">
        <v>192</v>
      </c>
      <c r="Y17" s="93">
        <v>211</v>
      </c>
      <c r="Z17" s="93">
        <v>203</v>
      </c>
      <c r="AA17" s="93">
        <v>197</v>
      </c>
      <c r="AB17" s="93">
        <v>209</v>
      </c>
      <c r="AC17" s="93">
        <v>213</v>
      </c>
      <c r="AD17" s="93">
        <v>214</v>
      </c>
      <c r="AE17" s="93">
        <v>216</v>
      </c>
      <c r="AF17" s="93">
        <v>225</v>
      </c>
      <c r="AG17" s="93">
        <v>240</v>
      </c>
      <c r="AH17" s="93">
        <v>230</v>
      </c>
      <c r="AI17" s="93">
        <v>229</v>
      </c>
      <c r="AJ17" s="93">
        <v>233</v>
      </c>
      <c r="AK17" s="93">
        <v>250</v>
      </c>
      <c r="AL17" s="93">
        <v>241</v>
      </c>
      <c r="AM17" s="93">
        <v>231</v>
      </c>
      <c r="AN17" s="93">
        <v>312</v>
      </c>
      <c r="AO17" s="93">
        <v>316</v>
      </c>
      <c r="AP17" s="281">
        <v>306</v>
      </c>
      <c r="AQ17" s="281">
        <v>308</v>
      </c>
      <c r="AR17" s="281">
        <v>295</v>
      </c>
      <c r="AS17" s="421">
        <v>302</v>
      </c>
    </row>
    <row r="18" spans="1:121" s="246" customFormat="1" ht="15" customHeight="1" x14ac:dyDescent="0.2">
      <c r="A18" s="226" t="s">
        <v>561</v>
      </c>
      <c r="B18" s="253">
        <v>70</v>
      </c>
      <c r="C18" s="253">
        <v>73</v>
      </c>
      <c r="D18" s="253">
        <v>79</v>
      </c>
      <c r="E18" s="253">
        <v>85</v>
      </c>
      <c r="F18" s="253">
        <v>92</v>
      </c>
      <c r="G18" s="253">
        <v>90</v>
      </c>
      <c r="H18" s="253">
        <v>99</v>
      </c>
      <c r="I18" s="253">
        <v>112</v>
      </c>
      <c r="J18" s="93">
        <v>94</v>
      </c>
      <c r="K18" s="93">
        <v>105</v>
      </c>
      <c r="L18" s="93">
        <v>103</v>
      </c>
      <c r="M18" s="93">
        <v>112</v>
      </c>
      <c r="N18" s="93">
        <v>107</v>
      </c>
      <c r="O18" s="93">
        <v>110</v>
      </c>
      <c r="P18" s="93">
        <v>113</v>
      </c>
      <c r="Q18" s="93">
        <v>132</v>
      </c>
      <c r="R18" s="93">
        <v>123</v>
      </c>
      <c r="S18" s="93">
        <v>139</v>
      </c>
      <c r="T18" s="93">
        <v>139</v>
      </c>
      <c r="U18" s="93">
        <v>158</v>
      </c>
      <c r="V18" s="93">
        <v>146</v>
      </c>
      <c r="W18" s="93">
        <v>145</v>
      </c>
      <c r="X18" s="93">
        <v>148</v>
      </c>
      <c r="Y18" s="93">
        <v>169</v>
      </c>
      <c r="Z18" s="93">
        <v>153</v>
      </c>
      <c r="AA18" s="93">
        <v>162</v>
      </c>
      <c r="AB18" s="93">
        <v>168</v>
      </c>
      <c r="AC18" s="93">
        <v>177</v>
      </c>
      <c r="AD18" s="93">
        <v>152</v>
      </c>
      <c r="AE18" s="93">
        <v>180</v>
      </c>
      <c r="AF18" s="93">
        <v>169</v>
      </c>
      <c r="AG18" s="93">
        <v>200</v>
      </c>
      <c r="AH18" s="93">
        <v>240</v>
      </c>
      <c r="AI18" s="93">
        <v>263</v>
      </c>
      <c r="AJ18" s="93">
        <v>256</v>
      </c>
      <c r="AK18" s="93">
        <v>274</v>
      </c>
      <c r="AL18" s="93">
        <v>234</v>
      </c>
      <c r="AM18" s="93">
        <v>268</v>
      </c>
      <c r="AN18" s="93">
        <v>322</v>
      </c>
      <c r="AO18" s="93">
        <v>331</v>
      </c>
      <c r="AP18" s="281">
        <v>294</v>
      </c>
      <c r="AQ18" s="281">
        <v>312</v>
      </c>
      <c r="AR18" s="281">
        <v>315</v>
      </c>
      <c r="AS18" s="421">
        <v>355</v>
      </c>
    </row>
    <row r="19" spans="1:121" s="246" customFormat="1" ht="15" customHeight="1" x14ac:dyDescent="0.2">
      <c r="A19" s="226" t="s">
        <v>132</v>
      </c>
      <c r="B19" s="253">
        <v>47</v>
      </c>
      <c r="C19" s="253">
        <v>50</v>
      </c>
      <c r="D19" s="253">
        <v>54</v>
      </c>
      <c r="E19" s="253">
        <v>54</v>
      </c>
      <c r="F19" s="253">
        <v>48</v>
      </c>
      <c r="G19" s="253">
        <v>48</v>
      </c>
      <c r="H19" s="253">
        <v>54</v>
      </c>
      <c r="I19" s="253">
        <v>62</v>
      </c>
      <c r="J19" s="93">
        <v>53</v>
      </c>
      <c r="K19" s="93">
        <v>48</v>
      </c>
      <c r="L19" s="93">
        <v>60</v>
      </c>
      <c r="M19" s="93">
        <v>66</v>
      </c>
      <c r="N19" s="93">
        <v>63</v>
      </c>
      <c r="O19" s="93">
        <v>66</v>
      </c>
      <c r="P19" s="93">
        <v>75</v>
      </c>
      <c r="Q19" s="93">
        <v>92</v>
      </c>
      <c r="R19" s="93">
        <v>81</v>
      </c>
      <c r="S19" s="93">
        <v>95</v>
      </c>
      <c r="T19" s="93">
        <v>105</v>
      </c>
      <c r="U19" s="93">
        <v>98</v>
      </c>
      <c r="V19" s="93">
        <v>92</v>
      </c>
      <c r="W19" s="93">
        <v>77</v>
      </c>
      <c r="X19" s="93">
        <v>75</v>
      </c>
      <c r="Y19" s="93">
        <v>78</v>
      </c>
      <c r="Z19" s="93">
        <v>69</v>
      </c>
      <c r="AA19" s="93">
        <v>76</v>
      </c>
      <c r="AB19" s="93">
        <v>81</v>
      </c>
      <c r="AC19" s="93">
        <v>83</v>
      </c>
      <c r="AD19" s="93">
        <v>77</v>
      </c>
      <c r="AE19" s="93">
        <v>91</v>
      </c>
      <c r="AF19" s="93">
        <v>85</v>
      </c>
      <c r="AG19" s="93">
        <v>89</v>
      </c>
      <c r="AH19" s="93">
        <v>78</v>
      </c>
      <c r="AI19" s="93">
        <v>86</v>
      </c>
      <c r="AJ19" s="93">
        <v>86</v>
      </c>
      <c r="AK19" s="93">
        <v>86</v>
      </c>
      <c r="AL19" s="93">
        <v>79</v>
      </c>
      <c r="AM19" s="93">
        <v>75</v>
      </c>
      <c r="AN19" s="93">
        <v>98</v>
      </c>
      <c r="AO19" s="93">
        <v>84</v>
      </c>
      <c r="AP19" s="281">
        <v>77</v>
      </c>
      <c r="AQ19" s="281">
        <v>69</v>
      </c>
      <c r="AR19" s="281">
        <v>67</v>
      </c>
      <c r="AS19" s="421">
        <v>74</v>
      </c>
    </row>
    <row r="20" spans="1:121" s="246" customFormat="1" ht="15" customHeight="1" x14ac:dyDescent="0.2">
      <c r="A20" s="226" t="s">
        <v>562</v>
      </c>
      <c r="B20" s="253">
        <v>45</v>
      </c>
      <c r="C20" s="253">
        <v>48</v>
      </c>
      <c r="D20" s="253">
        <v>50</v>
      </c>
      <c r="E20" s="253">
        <v>50</v>
      </c>
      <c r="F20" s="253">
        <v>51</v>
      </c>
      <c r="G20" s="253">
        <v>52</v>
      </c>
      <c r="H20" s="253">
        <v>58</v>
      </c>
      <c r="I20" s="253">
        <v>57</v>
      </c>
      <c r="J20" s="93">
        <v>60</v>
      </c>
      <c r="K20" s="93">
        <v>60</v>
      </c>
      <c r="L20" s="93">
        <v>65</v>
      </c>
      <c r="M20" s="93">
        <v>64</v>
      </c>
      <c r="N20" s="93">
        <v>66</v>
      </c>
      <c r="O20" s="93">
        <v>66</v>
      </c>
      <c r="P20" s="93">
        <v>70</v>
      </c>
      <c r="Q20" s="93">
        <v>71</v>
      </c>
      <c r="R20" s="93">
        <v>76</v>
      </c>
      <c r="S20" s="93">
        <v>80</v>
      </c>
      <c r="T20" s="93">
        <v>84</v>
      </c>
      <c r="U20" s="93">
        <v>94</v>
      </c>
      <c r="V20" s="93">
        <v>100</v>
      </c>
      <c r="W20" s="93">
        <v>105</v>
      </c>
      <c r="X20" s="93">
        <v>112</v>
      </c>
      <c r="Y20" s="93">
        <v>111</v>
      </c>
      <c r="Z20" s="93">
        <v>116</v>
      </c>
      <c r="AA20" s="93">
        <v>124</v>
      </c>
      <c r="AB20" s="93">
        <v>124</v>
      </c>
      <c r="AC20" s="93">
        <v>131</v>
      </c>
      <c r="AD20" s="93">
        <v>138</v>
      </c>
      <c r="AE20" s="93">
        <v>139</v>
      </c>
      <c r="AF20" s="93">
        <v>140</v>
      </c>
      <c r="AG20" s="93">
        <v>141</v>
      </c>
      <c r="AH20" s="93">
        <v>149</v>
      </c>
      <c r="AI20" s="93">
        <v>150</v>
      </c>
      <c r="AJ20" s="93">
        <v>154</v>
      </c>
      <c r="AK20" s="93">
        <v>156</v>
      </c>
      <c r="AL20" s="93">
        <v>166</v>
      </c>
      <c r="AM20" s="93">
        <v>168</v>
      </c>
      <c r="AN20" s="93">
        <v>204</v>
      </c>
      <c r="AO20" s="93">
        <v>203</v>
      </c>
      <c r="AP20" s="281">
        <v>211</v>
      </c>
      <c r="AQ20" s="281">
        <v>208</v>
      </c>
      <c r="AR20" s="281">
        <v>205</v>
      </c>
      <c r="AS20" s="421">
        <v>198</v>
      </c>
    </row>
    <row r="21" spans="1:121" s="246" customFormat="1" ht="15" customHeight="1" x14ac:dyDescent="0.2">
      <c r="A21" s="226" t="s">
        <v>563</v>
      </c>
      <c r="B21" s="253">
        <v>45</v>
      </c>
      <c r="C21" s="253">
        <v>45</v>
      </c>
      <c r="D21" s="253">
        <v>39</v>
      </c>
      <c r="E21" s="253">
        <v>45</v>
      </c>
      <c r="F21" s="253">
        <v>47</v>
      </c>
      <c r="G21" s="253">
        <v>45</v>
      </c>
      <c r="H21" s="253">
        <v>43</v>
      </c>
      <c r="I21" s="253">
        <v>48</v>
      </c>
      <c r="J21" s="93">
        <v>50</v>
      </c>
      <c r="K21" s="93">
        <v>52</v>
      </c>
      <c r="L21" s="93">
        <v>44</v>
      </c>
      <c r="M21" s="93">
        <v>52</v>
      </c>
      <c r="N21" s="93">
        <v>55</v>
      </c>
      <c r="O21" s="93">
        <v>53</v>
      </c>
      <c r="P21" s="93">
        <v>48</v>
      </c>
      <c r="Q21" s="93">
        <v>54</v>
      </c>
      <c r="R21" s="93">
        <v>59</v>
      </c>
      <c r="S21" s="93">
        <v>57</v>
      </c>
      <c r="T21" s="93">
        <v>53</v>
      </c>
      <c r="U21" s="93">
        <v>59</v>
      </c>
      <c r="V21" s="93">
        <v>65</v>
      </c>
      <c r="W21" s="93">
        <v>65</v>
      </c>
      <c r="X21" s="93">
        <v>58</v>
      </c>
      <c r="Y21" s="93">
        <v>66</v>
      </c>
      <c r="Z21" s="93">
        <v>65</v>
      </c>
      <c r="AA21" s="93">
        <v>54</v>
      </c>
      <c r="AB21" s="93">
        <v>51</v>
      </c>
      <c r="AC21" s="93">
        <v>55</v>
      </c>
      <c r="AD21" s="93">
        <v>61</v>
      </c>
      <c r="AE21" s="93">
        <v>57</v>
      </c>
      <c r="AF21" s="93">
        <v>54</v>
      </c>
      <c r="AG21" s="93">
        <v>65</v>
      </c>
      <c r="AH21" s="93">
        <v>78</v>
      </c>
      <c r="AI21" s="93">
        <v>87</v>
      </c>
      <c r="AJ21" s="93">
        <v>84</v>
      </c>
      <c r="AK21" s="93">
        <v>96</v>
      </c>
      <c r="AL21" s="93">
        <v>103</v>
      </c>
      <c r="AM21" s="93">
        <v>93</v>
      </c>
      <c r="AN21" s="93">
        <v>94</v>
      </c>
      <c r="AO21" s="93">
        <v>100</v>
      </c>
      <c r="AP21" s="281">
        <v>114</v>
      </c>
      <c r="AQ21" s="281">
        <v>102</v>
      </c>
      <c r="AR21" s="281">
        <v>90</v>
      </c>
      <c r="AS21" s="421">
        <v>105</v>
      </c>
    </row>
    <row r="22" spans="1:121" s="246" customFormat="1" ht="15" customHeight="1" x14ac:dyDescent="0.2">
      <c r="A22" s="226" t="s">
        <v>133</v>
      </c>
      <c r="B22" s="253">
        <v>14</v>
      </c>
      <c r="C22" s="253">
        <v>17</v>
      </c>
      <c r="D22" s="253">
        <v>20</v>
      </c>
      <c r="E22" s="253">
        <v>21</v>
      </c>
      <c r="F22" s="253">
        <v>19</v>
      </c>
      <c r="G22" s="253">
        <v>23</v>
      </c>
      <c r="H22" s="253">
        <v>23</v>
      </c>
      <c r="I22" s="253">
        <v>22</v>
      </c>
      <c r="J22" s="93">
        <v>15</v>
      </c>
      <c r="K22" s="93">
        <v>19</v>
      </c>
      <c r="L22" s="93">
        <v>21</v>
      </c>
      <c r="M22" s="93">
        <v>22</v>
      </c>
      <c r="N22" s="93">
        <v>21</v>
      </c>
      <c r="O22" s="93">
        <v>29</v>
      </c>
      <c r="P22" s="93">
        <v>39</v>
      </c>
      <c r="Q22" s="93">
        <v>35</v>
      </c>
      <c r="R22" s="93">
        <v>35</v>
      </c>
      <c r="S22" s="93">
        <v>36</v>
      </c>
      <c r="T22" s="93">
        <v>42</v>
      </c>
      <c r="U22" s="93">
        <v>48</v>
      </c>
      <c r="V22" s="93">
        <v>33</v>
      </c>
      <c r="W22" s="93">
        <v>34</v>
      </c>
      <c r="X22" s="93">
        <v>34</v>
      </c>
      <c r="Y22" s="93">
        <v>38</v>
      </c>
      <c r="Z22" s="93">
        <v>27</v>
      </c>
      <c r="AA22" s="93">
        <v>33</v>
      </c>
      <c r="AB22" s="93">
        <v>38</v>
      </c>
      <c r="AC22" s="93">
        <v>39</v>
      </c>
      <c r="AD22" s="93">
        <v>30</v>
      </c>
      <c r="AE22" s="93">
        <v>34</v>
      </c>
      <c r="AF22" s="93">
        <v>37</v>
      </c>
      <c r="AG22" s="93">
        <v>54</v>
      </c>
      <c r="AH22" s="93">
        <v>29</v>
      </c>
      <c r="AI22" s="93">
        <v>43</v>
      </c>
      <c r="AJ22" s="93">
        <v>52</v>
      </c>
      <c r="AK22" s="93">
        <v>44</v>
      </c>
      <c r="AL22" s="93">
        <v>27</v>
      </c>
      <c r="AM22" s="93">
        <v>37</v>
      </c>
      <c r="AN22" s="93">
        <v>52</v>
      </c>
      <c r="AO22" s="93">
        <v>62</v>
      </c>
      <c r="AP22" s="281">
        <v>51</v>
      </c>
      <c r="AQ22" s="281">
        <v>70</v>
      </c>
      <c r="AR22" s="281">
        <v>57</v>
      </c>
      <c r="AS22" s="421">
        <v>92</v>
      </c>
    </row>
    <row r="23" spans="1:121" s="246" customFormat="1" ht="15" customHeight="1" x14ac:dyDescent="0.2">
      <c r="A23" s="226" t="s">
        <v>134</v>
      </c>
      <c r="B23" s="253">
        <v>138</v>
      </c>
      <c r="C23" s="253">
        <v>150</v>
      </c>
      <c r="D23" s="253">
        <v>148</v>
      </c>
      <c r="E23" s="253">
        <v>196</v>
      </c>
      <c r="F23" s="253">
        <v>253</v>
      </c>
      <c r="G23" s="253">
        <v>242</v>
      </c>
      <c r="H23" s="253">
        <v>207</v>
      </c>
      <c r="I23" s="253">
        <v>169</v>
      </c>
      <c r="J23" s="93">
        <v>188</v>
      </c>
      <c r="K23" s="93">
        <v>244</v>
      </c>
      <c r="L23" s="93">
        <v>209</v>
      </c>
      <c r="M23" s="93">
        <v>219</v>
      </c>
      <c r="N23" s="93">
        <v>242</v>
      </c>
      <c r="O23" s="93">
        <v>263</v>
      </c>
      <c r="P23" s="93">
        <v>246</v>
      </c>
      <c r="Q23" s="93">
        <v>285</v>
      </c>
      <c r="R23" s="93">
        <v>317</v>
      </c>
      <c r="S23" s="93">
        <v>277</v>
      </c>
      <c r="T23" s="93">
        <v>310</v>
      </c>
      <c r="U23" s="93">
        <v>363</v>
      </c>
      <c r="V23" s="93">
        <v>349</v>
      </c>
      <c r="W23" s="93">
        <v>360</v>
      </c>
      <c r="X23" s="93">
        <v>378</v>
      </c>
      <c r="Y23" s="93">
        <v>444</v>
      </c>
      <c r="Z23" s="93">
        <v>249</v>
      </c>
      <c r="AA23" s="93">
        <v>265</v>
      </c>
      <c r="AB23" s="93">
        <v>237</v>
      </c>
      <c r="AC23" s="93">
        <v>196</v>
      </c>
      <c r="AD23" s="93">
        <f>198+1</f>
        <v>199</v>
      </c>
      <c r="AE23" s="93">
        <v>206</v>
      </c>
      <c r="AF23" s="93">
        <v>163</v>
      </c>
      <c r="AG23" s="93">
        <v>227</v>
      </c>
      <c r="AH23" s="93">
        <v>183</v>
      </c>
      <c r="AI23" s="93">
        <v>191</v>
      </c>
      <c r="AJ23" s="93">
        <v>212</v>
      </c>
      <c r="AK23" s="93">
        <v>281</v>
      </c>
      <c r="AL23" s="93">
        <v>227</v>
      </c>
      <c r="AM23" s="93">
        <v>244</v>
      </c>
      <c r="AN23" s="93">
        <v>260</v>
      </c>
      <c r="AO23" s="93">
        <v>328</v>
      </c>
      <c r="AP23" s="281">
        <v>261</v>
      </c>
      <c r="AQ23" s="281">
        <v>264</v>
      </c>
      <c r="AR23" s="281">
        <v>282</v>
      </c>
      <c r="AS23" s="421">
        <v>278</v>
      </c>
    </row>
    <row r="24" spans="1:121" customFormat="1" ht="5.0999999999999996" customHeight="1" x14ac:dyDescent="0.2">
      <c r="A24" s="226"/>
      <c r="B24" s="5"/>
      <c r="C24" s="5"/>
      <c r="D24" s="5"/>
      <c r="E24" s="5"/>
      <c r="F24" s="5"/>
      <c r="G24" s="5"/>
      <c r="H24" s="5"/>
      <c r="I24" s="5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7"/>
      <c r="AP24" s="559"/>
      <c r="AQ24" s="559"/>
      <c r="AR24" s="559"/>
      <c r="AS24" s="559"/>
    </row>
    <row r="25" spans="1:121" s="178" customFormat="1" ht="15" customHeight="1" thickBot="1" x14ac:dyDescent="0.25">
      <c r="A25" s="175" t="s">
        <v>10</v>
      </c>
      <c r="B25" s="176">
        <f t="shared" ref="B25:AL25" si="0">SUM(B10:B23)</f>
        <v>1602</v>
      </c>
      <c r="C25" s="176">
        <f t="shared" si="0"/>
        <v>1688</v>
      </c>
      <c r="D25" s="176">
        <f t="shared" si="0"/>
        <v>1792</v>
      </c>
      <c r="E25" s="176">
        <f t="shared" si="0"/>
        <v>2039</v>
      </c>
      <c r="F25" s="176">
        <f t="shared" si="0"/>
        <v>1877</v>
      </c>
      <c r="G25" s="176">
        <f t="shared" si="0"/>
        <v>2002</v>
      </c>
      <c r="H25" s="176">
        <f t="shared" si="0"/>
        <v>2130</v>
      </c>
      <c r="I25" s="176">
        <f t="shared" si="0"/>
        <v>2298</v>
      </c>
      <c r="J25" s="176">
        <f t="shared" si="0"/>
        <v>2155</v>
      </c>
      <c r="K25" s="176">
        <f t="shared" si="0"/>
        <v>2233</v>
      </c>
      <c r="L25" s="176">
        <f t="shared" si="0"/>
        <v>2359</v>
      </c>
      <c r="M25" s="176">
        <f t="shared" si="0"/>
        <v>2746</v>
      </c>
      <c r="N25" s="176">
        <f t="shared" si="0"/>
        <v>2647</v>
      </c>
      <c r="O25" s="176">
        <f t="shared" si="0"/>
        <v>2739</v>
      </c>
      <c r="P25" s="176">
        <f t="shared" si="0"/>
        <v>2889</v>
      </c>
      <c r="Q25" s="176">
        <f t="shared" si="0"/>
        <v>3258</v>
      </c>
      <c r="R25" s="176">
        <f t="shared" si="0"/>
        <v>3140</v>
      </c>
      <c r="S25" s="176">
        <f t="shared" si="0"/>
        <v>3179</v>
      </c>
      <c r="T25" s="176">
        <f t="shared" si="0"/>
        <v>3405</v>
      </c>
      <c r="U25" s="176">
        <f t="shared" si="0"/>
        <v>3682</v>
      </c>
      <c r="V25" s="176">
        <f t="shared" si="0"/>
        <v>3401</v>
      </c>
      <c r="W25" s="176">
        <f t="shared" si="0"/>
        <v>3441</v>
      </c>
      <c r="X25" s="176">
        <f t="shared" si="0"/>
        <v>3565</v>
      </c>
      <c r="Y25" s="176">
        <f t="shared" si="0"/>
        <v>3755</v>
      </c>
      <c r="Z25" s="176">
        <f t="shared" si="0"/>
        <v>3455</v>
      </c>
      <c r="AA25" s="176">
        <f t="shared" si="0"/>
        <v>3578</v>
      </c>
      <c r="AB25" s="176">
        <f t="shared" si="0"/>
        <v>3631</v>
      </c>
      <c r="AC25" s="176">
        <f t="shared" si="0"/>
        <v>3848</v>
      </c>
      <c r="AD25" s="176">
        <f t="shared" si="0"/>
        <v>3486</v>
      </c>
      <c r="AE25" s="176">
        <f t="shared" si="0"/>
        <v>3575</v>
      </c>
      <c r="AF25" s="176">
        <f t="shared" si="0"/>
        <v>3628</v>
      </c>
      <c r="AG25" s="176">
        <f t="shared" si="0"/>
        <v>4159</v>
      </c>
      <c r="AH25" s="176">
        <f t="shared" si="0"/>
        <v>3639</v>
      </c>
      <c r="AI25" s="176">
        <f t="shared" si="0"/>
        <v>3926</v>
      </c>
      <c r="AJ25" s="176">
        <f t="shared" si="0"/>
        <v>4200</v>
      </c>
      <c r="AK25" s="176">
        <f t="shared" si="0"/>
        <v>4574</v>
      </c>
      <c r="AL25" s="176">
        <f t="shared" si="0"/>
        <v>4116</v>
      </c>
      <c r="AM25" s="176">
        <f t="shared" ref="AM25:AR25" si="1">SUM(AM10:AM23)</f>
        <v>4270</v>
      </c>
      <c r="AN25" s="176">
        <f t="shared" si="1"/>
        <v>5338</v>
      </c>
      <c r="AO25" s="176">
        <f t="shared" si="1"/>
        <v>5410</v>
      </c>
      <c r="AP25" s="176">
        <f t="shared" si="1"/>
        <v>4854</v>
      </c>
      <c r="AQ25" s="176">
        <f t="shared" si="1"/>
        <v>4898</v>
      </c>
      <c r="AR25" s="176">
        <f t="shared" si="1"/>
        <v>5030</v>
      </c>
      <c r="AS25" s="375">
        <f t="shared" ref="AS25" si="2">SUM(AS10:AS23)</f>
        <v>5340</v>
      </c>
      <c r="AT25" s="193"/>
      <c r="AU25" s="193"/>
      <c r="AV25" s="193"/>
      <c r="AW25" s="193"/>
      <c r="AX25" s="193"/>
      <c r="AY25" s="193"/>
      <c r="AZ25" s="193"/>
      <c r="BA25" s="193"/>
      <c r="BB25" s="193"/>
      <c r="BC25" s="193"/>
      <c r="BD25" s="193"/>
      <c r="BE25" s="193"/>
      <c r="BF25" s="193"/>
      <c r="BG25" s="193"/>
      <c r="BH25" s="193"/>
      <c r="BI25" s="193"/>
      <c r="BJ25" s="193"/>
      <c r="BK25" s="193"/>
      <c r="BL25" s="193"/>
      <c r="BM25" s="193"/>
      <c r="BN25" s="193"/>
      <c r="BO25" s="193"/>
      <c r="BP25" s="193"/>
      <c r="BQ25" s="193"/>
      <c r="BR25" s="193"/>
      <c r="BS25" s="193"/>
      <c r="BT25" s="193"/>
      <c r="BU25" s="193"/>
      <c r="BV25" s="193"/>
      <c r="BW25" s="193"/>
      <c r="BX25" s="193"/>
      <c r="BY25" s="193"/>
      <c r="BZ25" s="193"/>
      <c r="CA25" s="193"/>
      <c r="CB25" s="193"/>
      <c r="CC25" s="193"/>
      <c r="CD25" s="193"/>
      <c r="CE25" s="193"/>
      <c r="CF25" s="193"/>
      <c r="CG25" s="193"/>
      <c r="CH25" s="193"/>
      <c r="CI25" s="193"/>
      <c r="CJ25" s="193"/>
      <c r="CK25" s="193"/>
      <c r="CL25" s="193"/>
      <c r="CM25" s="193"/>
      <c r="CN25" s="193"/>
      <c r="CO25" s="193"/>
      <c r="CP25" s="193"/>
      <c r="CQ25" s="193"/>
      <c r="CR25" s="193"/>
      <c r="CS25" s="193"/>
      <c r="CT25" s="193"/>
      <c r="CU25" s="193"/>
      <c r="CV25" s="193"/>
      <c r="CW25" s="193"/>
      <c r="CX25" s="193"/>
      <c r="CY25" s="193"/>
      <c r="CZ25" s="193"/>
      <c r="DA25" s="193"/>
      <c r="DB25" s="193"/>
      <c r="DC25" s="193"/>
      <c r="DD25" s="193"/>
      <c r="DE25" s="193"/>
      <c r="DF25" s="193"/>
      <c r="DG25" s="193"/>
      <c r="DH25" s="193"/>
      <c r="DI25" s="193"/>
      <c r="DJ25" s="193"/>
      <c r="DK25" s="193"/>
      <c r="DL25" s="193"/>
      <c r="DM25" s="193"/>
      <c r="DN25" s="193"/>
      <c r="DO25" s="193"/>
      <c r="DP25" s="193"/>
      <c r="DQ25" s="193"/>
    </row>
    <row r="26" spans="1:121" customFormat="1" ht="15" customHeight="1" thickTop="1" x14ac:dyDescent="0.2">
      <c r="A26" s="92"/>
    </row>
    <row r="27" spans="1:121" customFormat="1" ht="15" customHeight="1" x14ac:dyDescent="0.2">
      <c r="A27" s="92"/>
    </row>
    <row r="28" spans="1:121" customFormat="1" ht="15" customHeight="1" x14ac:dyDescent="0.2">
      <c r="A28" s="92"/>
    </row>
    <row r="29" spans="1:121" customFormat="1" ht="15" customHeight="1" x14ac:dyDescent="0.2">
      <c r="A29" s="92"/>
    </row>
    <row r="30" spans="1:121" customFormat="1" ht="15" customHeight="1" x14ac:dyDescent="0.2">
      <c r="A30" s="92"/>
    </row>
    <row r="31" spans="1:121" customFormat="1" ht="15" customHeight="1" x14ac:dyDescent="0.2">
      <c r="A31" s="92"/>
    </row>
    <row r="32" spans="1:121" customFormat="1" ht="15" customHeight="1" x14ac:dyDescent="0.2">
      <c r="A32" s="92"/>
    </row>
    <row r="33" spans="1:1" customFormat="1" ht="15" customHeight="1" x14ac:dyDescent="0.2">
      <c r="A33" s="92"/>
    </row>
    <row r="34" spans="1:1" customFormat="1" ht="15" customHeight="1" x14ac:dyDescent="0.2">
      <c r="A34" s="92"/>
    </row>
    <row r="35" spans="1:1" customFormat="1" ht="15" customHeight="1" x14ac:dyDescent="0.2">
      <c r="A35" s="92"/>
    </row>
    <row r="36" spans="1:1" customFormat="1" ht="15" customHeight="1" x14ac:dyDescent="0.2">
      <c r="A36" s="92"/>
    </row>
    <row r="37" spans="1:1" customFormat="1" ht="15" customHeight="1" x14ac:dyDescent="0.2">
      <c r="A37" s="92"/>
    </row>
    <row r="38" spans="1:1" customFormat="1" ht="15" customHeight="1" x14ac:dyDescent="0.2">
      <c r="A38" s="92"/>
    </row>
    <row r="39" spans="1:1" customFormat="1" ht="15" customHeight="1" x14ac:dyDescent="0.2">
      <c r="A39" s="92"/>
    </row>
    <row r="40" spans="1:1" customFormat="1" ht="15" customHeight="1" x14ac:dyDescent="0.2">
      <c r="A40" s="92"/>
    </row>
    <row r="41" spans="1:1" customFormat="1" ht="15" customHeight="1" x14ac:dyDescent="0.2">
      <c r="A41" s="92"/>
    </row>
    <row r="42" spans="1:1" customFormat="1" ht="15" customHeight="1" x14ac:dyDescent="0.2">
      <c r="A42" s="92"/>
    </row>
    <row r="43" spans="1:1" customFormat="1" ht="15" customHeight="1" x14ac:dyDescent="0.2">
      <c r="A43" s="92"/>
    </row>
    <row r="44" spans="1:1" customFormat="1" ht="15" customHeight="1" x14ac:dyDescent="0.2">
      <c r="A44" s="92"/>
    </row>
    <row r="45" spans="1:1" customFormat="1" ht="15" customHeight="1" x14ac:dyDescent="0.2">
      <c r="A45" s="92"/>
    </row>
    <row r="46" spans="1:1" customFormat="1" ht="15" customHeight="1" x14ac:dyDescent="0.2">
      <c r="A46" s="92"/>
    </row>
    <row r="47" spans="1:1" customFormat="1" ht="15" customHeight="1" x14ac:dyDescent="0.2">
      <c r="A47" s="92"/>
    </row>
    <row r="48" spans="1:1" customFormat="1" ht="15" customHeight="1" x14ac:dyDescent="0.2">
      <c r="A48" s="92"/>
    </row>
    <row r="49" spans="1:1" customFormat="1" ht="15" customHeight="1" x14ac:dyDescent="0.2">
      <c r="A49" s="92"/>
    </row>
    <row r="50" spans="1:1" customFormat="1" ht="15" customHeight="1" x14ac:dyDescent="0.2">
      <c r="A50" s="92"/>
    </row>
    <row r="51" spans="1:1" customFormat="1" ht="15" customHeight="1" x14ac:dyDescent="0.2">
      <c r="A51" s="92"/>
    </row>
    <row r="52" spans="1:1" customFormat="1" ht="15" customHeight="1" x14ac:dyDescent="0.2">
      <c r="A52" s="92"/>
    </row>
    <row r="53" spans="1:1" customFormat="1" ht="15" customHeight="1" x14ac:dyDescent="0.2">
      <c r="A53" s="92"/>
    </row>
    <row r="54" spans="1:1" customFormat="1" ht="15" customHeight="1" x14ac:dyDescent="0.2">
      <c r="A54" s="92"/>
    </row>
    <row r="55" spans="1:1" customFormat="1" ht="15" customHeight="1" x14ac:dyDescent="0.2">
      <c r="A55" s="92"/>
    </row>
    <row r="56" spans="1:1" customFormat="1" ht="15" customHeight="1" x14ac:dyDescent="0.2">
      <c r="A56" s="92"/>
    </row>
    <row r="57" spans="1:1" customFormat="1" ht="15" customHeight="1" x14ac:dyDescent="0.2">
      <c r="A57" s="92"/>
    </row>
    <row r="58" spans="1:1" customFormat="1" ht="15" customHeight="1" x14ac:dyDescent="0.2">
      <c r="A58" s="92"/>
    </row>
    <row r="59" spans="1:1" customFormat="1" ht="15" customHeight="1" x14ac:dyDescent="0.2">
      <c r="A59" s="92"/>
    </row>
    <row r="60" spans="1:1" customFormat="1" ht="15" customHeight="1" x14ac:dyDescent="0.2">
      <c r="A60" s="92"/>
    </row>
    <row r="61" spans="1:1" customFormat="1" ht="15" customHeight="1" x14ac:dyDescent="0.2">
      <c r="A61" s="92"/>
    </row>
    <row r="62" spans="1:1" customFormat="1" ht="15" customHeight="1" x14ac:dyDescent="0.2">
      <c r="A62" s="92"/>
    </row>
    <row r="63" spans="1:1" customFormat="1" ht="15" customHeight="1" x14ac:dyDescent="0.2">
      <c r="A63" s="92"/>
    </row>
    <row r="64" spans="1:1" customFormat="1" ht="15" customHeight="1" x14ac:dyDescent="0.2">
      <c r="A64" s="92"/>
    </row>
    <row r="65" spans="1:1" customFormat="1" ht="15" customHeight="1" x14ac:dyDescent="0.2">
      <c r="A65" s="92"/>
    </row>
    <row r="66" spans="1:1" customFormat="1" ht="15" customHeight="1" x14ac:dyDescent="0.2">
      <c r="A66" s="92"/>
    </row>
    <row r="67" spans="1:1" customFormat="1" ht="15" customHeight="1" x14ac:dyDescent="0.2">
      <c r="A67" s="92"/>
    </row>
    <row r="68" spans="1:1" customFormat="1" ht="15" customHeight="1" x14ac:dyDescent="0.2">
      <c r="A68" s="92"/>
    </row>
    <row r="69" spans="1:1" customFormat="1" ht="15" customHeight="1" x14ac:dyDescent="0.2">
      <c r="A69" s="92"/>
    </row>
    <row r="70" spans="1:1" customFormat="1" ht="15" customHeight="1" x14ac:dyDescent="0.2">
      <c r="A70" s="92"/>
    </row>
    <row r="71" spans="1:1" customFormat="1" ht="15" customHeight="1" x14ac:dyDescent="0.2">
      <c r="A71" s="92"/>
    </row>
    <row r="72" spans="1:1" customFormat="1" ht="15" customHeight="1" x14ac:dyDescent="0.2">
      <c r="A72" s="92"/>
    </row>
    <row r="73" spans="1:1" customFormat="1" ht="15" customHeight="1" x14ac:dyDescent="0.2">
      <c r="A73" s="92"/>
    </row>
    <row r="74" spans="1:1" customFormat="1" ht="15" customHeight="1" x14ac:dyDescent="0.2">
      <c r="A74" s="92"/>
    </row>
    <row r="75" spans="1:1" customFormat="1" ht="15" customHeight="1" x14ac:dyDescent="0.2">
      <c r="A75" s="92"/>
    </row>
    <row r="76" spans="1:1" customFormat="1" ht="15" customHeight="1" x14ac:dyDescent="0.2">
      <c r="A76" s="92"/>
    </row>
    <row r="77" spans="1:1" customFormat="1" ht="15" customHeight="1" x14ac:dyDescent="0.2">
      <c r="A77" s="92"/>
    </row>
    <row r="78" spans="1:1" customFormat="1" ht="15" customHeight="1" x14ac:dyDescent="0.2">
      <c r="A78" s="92"/>
    </row>
    <row r="79" spans="1:1" customFormat="1" ht="15" customHeight="1" x14ac:dyDescent="0.2">
      <c r="A79" s="92"/>
    </row>
    <row r="80" spans="1:1" customFormat="1" ht="15" customHeight="1" x14ac:dyDescent="0.2">
      <c r="A80" s="92"/>
    </row>
    <row r="81" spans="1:1" customFormat="1" ht="15" customHeight="1" x14ac:dyDescent="0.2">
      <c r="A81" s="92"/>
    </row>
    <row r="82" spans="1:1" customFormat="1" ht="15" customHeight="1" x14ac:dyDescent="0.2">
      <c r="A82" s="92"/>
    </row>
    <row r="83" spans="1:1" customFormat="1" ht="15" customHeight="1" x14ac:dyDescent="0.2">
      <c r="A83" s="92"/>
    </row>
    <row r="84" spans="1:1" customFormat="1" ht="15" customHeight="1" x14ac:dyDescent="0.2">
      <c r="A84" s="92"/>
    </row>
    <row r="85" spans="1:1" customFormat="1" ht="15" customHeight="1" x14ac:dyDescent="0.2">
      <c r="A85" s="92"/>
    </row>
    <row r="86" spans="1:1" customFormat="1" ht="15" customHeight="1" x14ac:dyDescent="0.2">
      <c r="A86" s="92"/>
    </row>
    <row r="87" spans="1:1" customFormat="1" ht="15" customHeight="1" x14ac:dyDescent="0.2">
      <c r="A87" s="92"/>
    </row>
    <row r="88" spans="1:1" customFormat="1" ht="15" customHeight="1" x14ac:dyDescent="0.2">
      <c r="A88" s="92"/>
    </row>
    <row r="89" spans="1:1" customFormat="1" ht="15" customHeight="1" x14ac:dyDescent="0.2">
      <c r="A89" s="92"/>
    </row>
    <row r="90" spans="1:1" customFormat="1" ht="15" customHeight="1" x14ac:dyDescent="0.2">
      <c r="A90" s="92"/>
    </row>
    <row r="91" spans="1:1" customFormat="1" ht="15" customHeight="1" x14ac:dyDescent="0.2">
      <c r="A91" s="92"/>
    </row>
    <row r="92" spans="1:1" customFormat="1" ht="15" customHeight="1" x14ac:dyDescent="0.2">
      <c r="A92" s="92"/>
    </row>
    <row r="93" spans="1:1" customFormat="1" ht="15" customHeight="1" x14ac:dyDescent="0.2">
      <c r="A93" s="92"/>
    </row>
    <row r="94" spans="1:1" customFormat="1" ht="15" customHeight="1" x14ac:dyDescent="0.2">
      <c r="A94" s="92"/>
    </row>
    <row r="95" spans="1:1" customFormat="1" ht="15" customHeight="1" x14ac:dyDescent="0.2">
      <c r="A95" s="92"/>
    </row>
    <row r="96" spans="1:1" customFormat="1" ht="15" customHeight="1" x14ac:dyDescent="0.2">
      <c r="A96" s="92"/>
    </row>
    <row r="97" spans="1:1" customFormat="1" ht="15" customHeight="1" x14ac:dyDescent="0.2">
      <c r="A97" s="92"/>
    </row>
    <row r="98" spans="1:1" customFormat="1" ht="15" customHeight="1" x14ac:dyDescent="0.2">
      <c r="A98" s="92"/>
    </row>
    <row r="99" spans="1:1" customFormat="1" ht="15" customHeight="1" x14ac:dyDescent="0.2">
      <c r="A99" s="92"/>
    </row>
    <row r="100" spans="1:1" customFormat="1" ht="15" customHeight="1" x14ac:dyDescent="0.2">
      <c r="A100" s="92"/>
    </row>
    <row r="101" spans="1:1" customFormat="1" ht="15" customHeight="1" x14ac:dyDescent="0.2">
      <c r="A101" s="92"/>
    </row>
    <row r="102" spans="1:1" customFormat="1" ht="15" customHeight="1" x14ac:dyDescent="0.2">
      <c r="A102" s="92"/>
    </row>
    <row r="103" spans="1:1" customFormat="1" ht="15" customHeight="1" x14ac:dyDescent="0.2">
      <c r="A103" s="92"/>
    </row>
    <row r="104" spans="1:1" customFormat="1" ht="15" customHeight="1" x14ac:dyDescent="0.2">
      <c r="A104" s="92"/>
    </row>
    <row r="105" spans="1:1" customFormat="1" ht="15" customHeight="1" x14ac:dyDescent="0.2">
      <c r="A105" s="92"/>
    </row>
    <row r="106" spans="1:1" customFormat="1" ht="15" customHeight="1" x14ac:dyDescent="0.2">
      <c r="A106" s="92"/>
    </row>
    <row r="107" spans="1:1" customFormat="1" ht="15" customHeight="1" x14ac:dyDescent="0.2">
      <c r="A107" s="92"/>
    </row>
    <row r="108" spans="1:1" customFormat="1" ht="15" customHeight="1" x14ac:dyDescent="0.2">
      <c r="A108" s="92"/>
    </row>
    <row r="109" spans="1:1" customFormat="1" ht="15" customHeight="1" x14ac:dyDescent="0.2">
      <c r="A109" s="92"/>
    </row>
    <row r="110" spans="1:1" customFormat="1" ht="15" customHeight="1" x14ac:dyDescent="0.2">
      <c r="A110" s="92"/>
    </row>
    <row r="111" spans="1:1" customFormat="1" ht="15" customHeight="1" x14ac:dyDescent="0.2">
      <c r="A111" s="92"/>
    </row>
    <row r="112" spans="1:1" customFormat="1" ht="15" customHeight="1" x14ac:dyDescent="0.2">
      <c r="A112" s="92"/>
    </row>
    <row r="113" spans="1:1" customFormat="1" ht="15" customHeight="1" x14ac:dyDescent="0.2">
      <c r="A113" s="92"/>
    </row>
    <row r="114" spans="1:1" customFormat="1" ht="15" customHeight="1" x14ac:dyDescent="0.2">
      <c r="A114" s="92"/>
    </row>
    <row r="115" spans="1:1" customFormat="1" ht="15" customHeight="1" x14ac:dyDescent="0.2">
      <c r="A115" s="92"/>
    </row>
    <row r="116" spans="1:1" customFormat="1" ht="15" customHeight="1" x14ac:dyDescent="0.2">
      <c r="A116" s="92"/>
    </row>
  </sheetData>
  <customSheetViews>
    <customSheetView guid="{B7440494-8EA9-4463-9947-E5D20E74049D}" showGridLines="0">
      <pane xSplit="1" ySplit="10" topLeftCell="AG11" activePane="bottomRight" state="frozen"/>
      <selection pane="bottomRight" activeCell="AO6" sqref="AO6"/>
      <colBreaks count="4" manualBreakCount="4">
        <brk id="9" min="1" max="26" man="1"/>
        <brk id="17" min="1" max="26" man="1"/>
        <brk id="25" min="1" max="26" man="1"/>
        <brk id="33" min="1" max="26" man="1"/>
      </colBreaks>
      <pageMargins left="0" right="0" top="1.1811023622047245" bottom="0" header="0" footer="0"/>
      <printOptions horizontalCentered="1"/>
      <pageSetup paperSize="9" scale="110" orientation="landscape" horizontalDpi="1200" verticalDpi="1200" r:id="rId1"/>
      <headerFooter alignWithMargins="0">
        <oddHeader>&amp;R&amp;P/&amp;N</oddHeader>
      </headerFooter>
    </customSheetView>
    <customSheetView guid="{6D89F6EF-F5AD-478F-979A-5AF1BC78EF91}" showGridLines="0">
      <pane xSplit="2" ySplit="8" topLeftCell="C9" activePane="bottomRight" state="frozen"/>
      <selection pane="bottomRight" activeCell="C9" sqref="C9"/>
      <colBreaks count="2" manualBreakCount="2">
        <brk id="25" max="32" man="1"/>
        <brk id="41" max="32" man="1"/>
      </colBreaks>
      <pageMargins left="0" right="0" top="1.1811023622047245" bottom="0" header="0" footer="0"/>
      <printOptions horizontalCentered="1"/>
      <pageSetup paperSize="9" orientation="landscape" horizontalDpi="1200" verticalDpi="1200" r:id="rId2"/>
      <headerFooter alignWithMargins="0"/>
    </customSheetView>
    <customSheetView guid="{A9134056-6B1C-4A42-AFE9-9712EF3EF3D4}" showPageBreaks="1" showGridLines="0" printArea="1">
      <pane xSplit="2" ySplit="8" topLeftCell="C9" activePane="bottomRight" state="frozen"/>
      <selection pane="bottomRight" activeCell="C9" sqref="C9"/>
      <colBreaks count="4" manualBreakCount="4">
        <brk id="11" min="1" max="32" man="1"/>
        <brk id="21" min="1" max="32" man="1"/>
        <brk id="25" max="32" man="1"/>
        <brk id="41" max="32" man="1"/>
      </colBreaks>
      <pageMargins left="0" right="0" top="1.1811023622047245" bottom="0" header="0" footer="0"/>
      <printOptions horizontalCentered="1"/>
      <pageSetup paperSize="9" orientation="landscape" horizontalDpi="1200" verticalDpi="1200" r:id="rId3"/>
      <headerFooter alignWithMargins="0"/>
    </customSheetView>
  </customSheetViews>
  <hyperlinks>
    <hyperlink ref="AS6" location="Índex!E9" display="Índex"/>
  </hyperlinks>
  <printOptions horizontalCentered="1"/>
  <pageMargins left="0" right="0" top="0.39370078740157483" bottom="0" header="0" footer="0"/>
  <pageSetup paperSize="9" orientation="landscape" horizontalDpi="1200" verticalDpi="1200" r:id="rId4"/>
  <headerFooter alignWithMargins="0">
    <oddHeader>&amp;R&amp;P/&amp;N</oddHeader>
  </headerFooter>
  <colBreaks count="5" manualBreakCount="5">
    <brk id="9" min="1" max="26" man="1"/>
    <brk id="17" min="1" max="26" man="1"/>
    <brk id="25" min="1" max="26" man="1"/>
    <brk id="33" min="1" max="26" man="1"/>
    <brk id="41" min="1" max="26" man="1"/>
  </colBreaks>
  <drawing r:id="rId5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32"/>
  <dimension ref="A1:DQ121"/>
  <sheetViews>
    <sheetView showGridLines="0" zoomScaleNormal="100" workbookViewId="0">
      <pane xSplit="1" ySplit="8" topLeftCell="AM9" activePane="bottomRight" state="frozen"/>
      <selection activeCell="E9" sqref="E9"/>
      <selection pane="topRight" activeCell="E9" sqref="E9"/>
      <selection pane="bottomLeft" activeCell="E9" sqref="E9"/>
      <selection pane="bottomRight" activeCell="E9" sqref="E9"/>
    </sheetView>
  </sheetViews>
  <sheetFormatPr defaultColWidth="10.28515625" defaultRowHeight="15" customHeight="1" x14ac:dyDescent="0.2"/>
  <cols>
    <col min="1" max="1" width="110.42578125" style="228" bestFit="1" customWidth="1"/>
    <col min="2" max="45" width="10.7109375" style="1" customWidth="1"/>
    <col min="46" max="16384" width="10.28515625" style="1"/>
  </cols>
  <sheetData>
    <row r="1" spans="1:93" s="25" customFormat="1" ht="15" customHeight="1" x14ac:dyDescent="0.2">
      <c r="A1" s="455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2"/>
      <c r="AW1" s="62"/>
      <c r="AX1" s="62"/>
      <c r="AY1" s="62"/>
      <c r="AZ1" s="62"/>
      <c r="BA1" s="62"/>
      <c r="BB1" s="62"/>
      <c r="BC1" s="62"/>
      <c r="BD1" s="62"/>
      <c r="BE1" s="62"/>
      <c r="BF1" s="62"/>
      <c r="BG1" s="62"/>
      <c r="BH1" s="62"/>
      <c r="BI1" s="62"/>
      <c r="BJ1" s="56"/>
      <c r="BK1" s="56"/>
      <c r="BL1" s="56"/>
      <c r="BM1" s="56"/>
      <c r="BN1" s="56"/>
      <c r="BO1" s="56"/>
      <c r="BP1" s="56"/>
      <c r="BQ1" s="56"/>
      <c r="BR1" s="56"/>
      <c r="BS1" s="56"/>
      <c r="BT1" s="56"/>
      <c r="BU1" s="56"/>
    </row>
    <row r="2" spans="1:93" s="25" customFormat="1" ht="15" customHeight="1" x14ac:dyDescent="0.25">
      <c r="A2" s="179"/>
      <c r="B2" s="199"/>
      <c r="C2" s="56"/>
      <c r="D2" s="56"/>
      <c r="E2" s="216"/>
      <c r="F2" s="216"/>
      <c r="G2" s="216"/>
      <c r="H2" s="56"/>
      <c r="I2" s="56"/>
      <c r="J2" s="56"/>
      <c r="K2" s="21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  <c r="BM2" s="56"/>
      <c r="BN2" s="56"/>
      <c r="BO2" s="56"/>
      <c r="BP2" s="56"/>
      <c r="BQ2" s="56"/>
      <c r="BR2" s="56"/>
      <c r="BS2" s="56"/>
      <c r="BT2" s="56"/>
      <c r="BU2" s="56"/>
    </row>
    <row r="3" spans="1:93" s="25" customFormat="1" ht="15" customHeight="1" x14ac:dyDescent="0.25">
      <c r="A3" s="179"/>
      <c r="B3" s="57"/>
      <c r="C3" s="61"/>
      <c r="D3" s="57"/>
      <c r="E3" s="217"/>
      <c r="F3" s="217"/>
      <c r="G3" s="217"/>
      <c r="H3" s="57"/>
      <c r="I3" s="57"/>
      <c r="J3" s="57"/>
      <c r="K3" s="21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7"/>
      <c r="BT3" s="57"/>
      <c r="BU3" s="57"/>
    </row>
    <row r="4" spans="1:93" s="25" customFormat="1" ht="15" customHeight="1" x14ac:dyDescent="0.2">
      <c r="A4" s="456"/>
      <c r="B4" s="58"/>
      <c r="C4" s="58"/>
      <c r="D4" s="58"/>
      <c r="E4" s="218"/>
      <c r="F4" s="218"/>
      <c r="G4" s="218"/>
      <c r="H4" s="58"/>
      <c r="I4" s="58"/>
      <c r="J4" s="58"/>
      <c r="K4" s="21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  <c r="CG4" s="198"/>
      <c r="CH4" s="198"/>
      <c r="CI4" s="198"/>
      <c r="CJ4" s="198"/>
      <c r="CK4" s="198"/>
      <c r="CL4" s="198"/>
      <c r="CM4" s="198"/>
      <c r="CN4" s="198"/>
      <c r="CO4" s="198"/>
    </row>
    <row r="5" spans="1:93" s="25" customFormat="1" ht="19.5" thickBot="1" x14ac:dyDescent="0.35">
      <c r="A5" s="190" t="s">
        <v>565</v>
      </c>
      <c r="B5" s="61"/>
      <c r="C5" s="59"/>
      <c r="D5" s="61"/>
      <c r="E5" s="59"/>
      <c r="F5" s="114"/>
      <c r="G5" s="59"/>
      <c r="H5" s="112"/>
      <c r="I5" s="59"/>
      <c r="J5" s="59"/>
      <c r="K5" s="59"/>
      <c r="L5" s="59"/>
      <c r="M5" s="59"/>
      <c r="N5" s="59"/>
      <c r="O5" s="59"/>
      <c r="P5" s="59"/>
      <c r="Q5" s="59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59"/>
      <c r="BR5" s="59"/>
      <c r="BS5" s="59"/>
      <c r="BT5" s="59"/>
      <c r="BU5" s="59"/>
      <c r="BW5" s="114"/>
      <c r="CA5" s="114"/>
      <c r="CC5" s="134"/>
      <c r="CF5" s="65"/>
      <c r="CG5" s="194"/>
      <c r="CH5" s="194"/>
      <c r="CI5" s="194"/>
      <c r="CJ5" s="225"/>
      <c r="CK5" s="194"/>
      <c r="CL5" s="194"/>
      <c r="CM5" s="194"/>
      <c r="CN5" s="194"/>
      <c r="CO5" s="198"/>
    </row>
    <row r="6" spans="1:93" s="236" customFormat="1" ht="15" customHeight="1" thickTop="1" x14ac:dyDescent="0.2">
      <c r="A6" s="475"/>
      <c r="B6" s="234"/>
      <c r="C6" s="235"/>
      <c r="D6" s="235"/>
      <c r="E6" s="235"/>
      <c r="AL6" s="133"/>
      <c r="AN6" s="133"/>
      <c r="AO6" s="133"/>
      <c r="AP6" s="400"/>
      <c r="AQ6" s="400"/>
      <c r="AR6" s="400"/>
      <c r="AS6" s="400" t="s">
        <v>662</v>
      </c>
    </row>
    <row r="7" spans="1:93" s="183" customFormat="1" ht="15" customHeight="1" x14ac:dyDescent="0.2">
      <c r="A7" s="182"/>
      <c r="B7" s="195" t="s">
        <v>35</v>
      </c>
      <c r="C7" s="195" t="s">
        <v>36</v>
      </c>
      <c r="D7" s="195" t="s">
        <v>321</v>
      </c>
      <c r="E7" s="195" t="s">
        <v>331</v>
      </c>
      <c r="F7" s="195" t="s">
        <v>37</v>
      </c>
      <c r="G7" s="195" t="s">
        <v>38</v>
      </c>
      <c r="H7" s="195" t="s">
        <v>322</v>
      </c>
      <c r="I7" s="195" t="s">
        <v>332</v>
      </c>
      <c r="J7" s="195" t="s">
        <v>39</v>
      </c>
      <c r="K7" s="195" t="s">
        <v>40</v>
      </c>
      <c r="L7" s="195" t="s">
        <v>323</v>
      </c>
      <c r="M7" s="195" t="s">
        <v>333</v>
      </c>
      <c r="N7" s="195" t="s">
        <v>41</v>
      </c>
      <c r="O7" s="195" t="s">
        <v>42</v>
      </c>
      <c r="P7" s="195" t="s">
        <v>324</v>
      </c>
      <c r="Q7" s="195" t="s">
        <v>334</v>
      </c>
      <c r="R7" s="195" t="s">
        <v>43</v>
      </c>
      <c r="S7" s="195" t="s">
        <v>44</v>
      </c>
      <c r="T7" s="195" t="s">
        <v>325</v>
      </c>
      <c r="U7" s="195" t="s">
        <v>335</v>
      </c>
      <c r="V7" s="195" t="s">
        <v>45</v>
      </c>
      <c r="W7" s="195" t="s">
        <v>46</v>
      </c>
      <c r="X7" s="195" t="s">
        <v>326</v>
      </c>
      <c r="Y7" s="195" t="s">
        <v>336</v>
      </c>
      <c r="Z7" s="195" t="s">
        <v>47</v>
      </c>
      <c r="AA7" s="195" t="s">
        <v>48</v>
      </c>
      <c r="AB7" s="195" t="s">
        <v>327</v>
      </c>
      <c r="AC7" s="195" t="s">
        <v>337</v>
      </c>
      <c r="AD7" s="195" t="s">
        <v>49</v>
      </c>
      <c r="AE7" s="195" t="s">
        <v>50</v>
      </c>
      <c r="AF7" s="195" t="s">
        <v>328</v>
      </c>
      <c r="AG7" s="195" t="s">
        <v>338</v>
      </c>
      <c r="AH7" s="195" t="s">
        <v>51</v>
      </c>
      <c r="AI7" s="195" t="s">
        <v>52</v>
      </c>
      <c r="AJ7" s="195" t="s">
        <v>329</v>
      </c>
      <c r="AK7" s="195" t="s">
        <v>339</v>
      </c>
      <c r="AL7" s="195" t="s">
        <v>53</v>
      </c>
      <c r="AM7" s="195" t="s">
        <v>54</v>
      </c>
      <c r="AN7" s="195" t="s">
        <v>330</v>
      </c>
      <c r="AO7" s="413" t="s">
        <v>340</v>
      </c>
      <c r="AP7" s="413" t="s">
        <v>71</v>
      </c>
      <c r="AQ7" s="591" t="s">
        <v>374</v>
      </c>
      <c r="AR7" s="591" t="s">
        <v>376</v>
      </c>
      <c r="AS7" s="664" t="s">
        <v>399</v>
      </c>
      <c r="CC7" s="243"/>
    </row>
    <row r="8" spans="1:93" s="178" customFormat="1" ht="9.9499999999999993" customHeight="1" x14ac:dyDescent="0.2">
      <c r="A8" s="233"/>
      <c r="B8" s="233"/>
      <c r="C8" s="233"/>
      <c r="D8" s="233"/>
      <c r="E8" s="233"/>
      <c r="F8" s="233"/>
      <c r="G8" s="233"/>
      <c r="H8" s="233"/>
      <c r="I8" s="233"/>
      <c r="J8" s="233"/>
      <c r="K8" s="233"/>
      <c r="L8" s="233"/>
      <c r="M8" s="233"/>
      <c r="N8" s="233"/>
      <c r="O8" s="233"/>
      <c r="P8" s="233"/>
      <c r="Q8" s="233"/>
      <c r="R8" s="233"/>
      <c r="S8" s="233"/>
      <c r="T8" s="233"/>
      <c r="U8" s="233"/>
      <c r="V8" s="233"/>
      <c r="W8" s="233"/>
      <c r="X8" s="233"/>
      <c r="Y8" s="233"/>
      <c r="Z8" s="233"/>
      <c r="AA8" s="233"/>
      <c r="AB8" s="233"/>
      <c r="AC8" s="233"/>
      <c r="AD8" s="233"/>
      <c r="AE8" s="233"/>
      <c r="AF8" s="233"/>
      <c r="AG8" s="233"/>
      <c r="AH8" s="233"/>
      <c r="AI8" s="233"/>
      <c r="AJ8" s="233"/>
      <c r="AK8" s="233"/>
      <c r="AL8" s="233"/>
      <c r="AM8" s="233"/>
      <c r="AN8" s="233"/>
      <c r="AO8" s="233"/>
      <c r="AP8" s="233"/>
      <c r="AQ8" s="233"/>
      <c r="AR8" s="233"/>
      <c r="AS8" s="233"/>
      <c r="AT8" s="191"/>
      <c r="AU8" s="191"/>
      <c r="AV8" s="191"/>
      <c r="AW8" s="191"/>
      <c r="AX8" s="191"/>
      <c r="AY8" s="191"/>
      <c r="AZ8" s="191"/>
      <c r="BA8" s="191"/>
      <c r="BB8" s="191"/>
      <c r="BC8" s="191"/>
      <c r="BD8" s="191"/>
      <c r="BE8" s="191"/>
      <c r="BF8" s="191"/>
      <c r="BG8" s="191"/>
      <c r="BH8" s="191"/>
      <c r="BI8" s="191"/>
      <c r="BJ8" s="191"/>
      <c r="BK8" s="191"/>
      <c r="BL8" s="191"/>
      <c r="BM8" s="191"/>
      <c r="BN8" s="191"/>
      <c r="BO8" s="191"/>
      <c r="BP8" s="191"/>
      <c r="BQ8" s="191"/>
      <c r="BR8" s="191"/>
      <c r="BS8" s="191"/>
      <c r="BT8" s="191"/>
      <c r="BU8" s="191"/>
      <c r="BV8" s="191"/>
      <c r="BW8" s="191"/>
      <c r="BX8" s="191"/>
      <c r="BY8" s="191"/>
      <c r="BZ8" s="191"/>
      <c r="CA8" s="191"/>
      <c r="CB8" s="191"/>
      <c r="CC8" s="191"/>
      <c r="CD8" s="191"/>
    </row>
    <row r="9" spans="1:93" s="178" customFormat="1" ht="5.0999999999999996" customHeight="1" x14ac:dyDescent="0.2">
      <c r="A9" s="476"/>
      <c r="B9" s="203"/>
      <c r="C9" s="203"/>
      <c r="D9" s="203"/>
      <c r="E9" s="203"/>
      <c r="F9" s="203"/>
      <c r="G9" s="203"/>
      <c r="H9" s="203"/>
      <c r="I9" s="203"/>
      <c r="J9" s="203"/>
      <c r="K9" s="203"/>
      <c r="L9" s="203"/>
      <c r="M9" s="203"/>
      <c r="N9" s="203"/>
      <c r="O9" s="203"/>
      <c r="P9" s="203"/>
      <c r="Q9" s="203"/>
      <c r="R9" s="203"/>
      <c r="S9" s="203"/>
      <c r="T9" s="203"/>
      <c r="U9" s="203"/>
      <c r="V9" s="203"/>
      <c r="W9" s="203"/>
      <c r="X9" s="203"/>
      <c r="Y9" s="203"/>
      <c r="Z9" s="203"/>
      <c r="AA9" s="203"/>
      <c r="AB9" s="203"/>
      <c r="AC9" s="203"/>
      <c r="AD9" s="203"/>
      <c r="AE9" s="203"/>
      <c r="AF9" s="203"/>
      <c r="AG9" s="203"/>
      <c r="AH9" s="203"/>
      <c r="AI9" s="203"/>
      <c r="AJ9" s="203"/>
      <c r="AK9" s="203"/>
      <c r="AL9" s="203"/>
      <c r="AM9" s="203"/>
      <c r="AN9" s="203"/>
      <c r="AO9" s="203"/>
      <c r="AP9" s="203"/>
      <c r="AQ9" s="203"/>
      <c r="AR9" s="203"/>
      <c r="AS9" s="203"/>
      <c r="AT9" s="203"/>
      <c r="AU9" s="203"/>
      <c r="AV9" s="203"/>
      <c r="AW9" s="203"/>
      <c r="AX9" s="203"/>
      <c r="AY9" s="203"/>
      <c r="AZ9" s="203"/>
      <c r="BA9" s="203"/>
      <c r="BB9" s="203"/>
      <c r="BC9" s="203"/>
      <c r="BD9" s="203"/>
      <c r="BE9" s="203"/>
      <c r="BF9" s="203"/>
      <c r="BG9" s="203"/>
      <c r="BH9" s="203"/>
      <c r="BI9" s="203"/>
      <c r="BJ9" s="203"/>
      <c r="BK9" s="203"/>
      <c r="BL9" s="203"/>
      <c r="BM9" s="203"/>
      <c r="BN9" s="203"/>
      <c r="BO9" s="203"/>
      <c r="BP9" s="203"/>
      <c r="BQ9" s="203"/>
      <c r="BR9" s="203"/>
      <c r="BS9" s="203"/>
      <c r="BT9" s="203"/>
      <c r="BU9" s="203"/>
      <c r="BV9" s="203"/>
      <c r="BW9" s="203"/>
      <c r="BX9" s="203"/>
      <c r="BY9" s="203"/>
      <c r="BZ9" s="203"/>
      <c r="CA9" s="203"/>
      <c r="CB9" s="203"/>
      <c r="CC9" s="203"/>
      <c r="CD9" s="203"/>
    </row>
    <row r="10" spans="1:93" s="228" customFormat="1" ht="15" customHeight="1" x14ac:dyDescent="0.2">
      <c r="A10" s="226" t="s">
        <v>135</v>
      </c>
      <c r="B10" s="262">
        <v>28.9</v>
      </c>
      <c r="C10" s="262">
        <v>27.1</v>
      </c>
      <c r="D10" s="262">
        <v>25.2</v>
      </c>
      <c r="E10" s="262">
        <v>23.8</v>
      </c>
      <c r="F10" s="262">
        <v>25.3</v>
      </c>
      <c r="G10" s="262">
        <v>24.5</v>
      </c>
      <c r="H10" s="263">
        <v>23.3</v>
      </c>
      <c r="I10" s="263">
        <v>22.3</v>
      </c>
      <c r="J10" s="264">
        <v>24.1</v>
      </c>
      <c r="K10" s="264">
        <v>22.3</v>
      </c>
      <c r="L10" s="264">
        <v>20.2</v>
      </c>
      <c r="M10" s="264">
        <v>18.2</v>
      </c>
      <c r="N10" s="264">
        <v>21.5</v>
      </c>
      <c r="O10" s="264">
        <v>21.9</v>
      </c>
      <c r="P10" s="264">
        <v>21.1</v>
      </c>
      <c r="Q10" s="264">
        <v>20.399999999999999</v>
      </c>
      <c r="R10" s="264">
        <v>23.1</v>
      </c>
      <c r="S10" s="264">
        <v>22.2</v>
      </c>
      <c r="T10" s="264">
        <v>21.4</v>
      </c>
      <c r="U10" s="264">
        <v>20.2</v>
      </c>
      <c r="V10" s="264">
        <v>21.1</v>
      </c>
      <c r="W10" s="264">
        <v>18.7</v>
      </c>
      <c r="X10" s="265">
        <v>17.7</v>
      </c>
      <c r="Y10" s="265">
        <v>16.5</v>
      </c>
      <c r="Z10" s="264">
        <v>18.100000000000001</v>
      </c>
      <c r="AA10" s="264">
        <v>18.7</v>
      </c>
      <c r="AB10" s="264">
        <v>18.3</v>
      </c>
      <c r="AC10" s="264">
        <v>17.2</v>
      </c>
      <c r="AD10" s="264">
        <v>20.3</v>
      </c>
      <c r="AE10" s="264">
        <v>19.899999999999999</v>
      </c>
      <c r="AF10" s="264">
        <v>19.3</v>
      </c>
      <c r="AG10" s="264">
        <v>18.8</v>
      </c>
      <c r="AH10" s="264">
        <v>20.399999999999999</v>
      </c>
      <c r="AI10" s="264">
        <v>20.2</v>
      </c>
      <c r="AJ10" s="264">
        <v>20.6</v>
      </c>
      <c r="AK10" s="264">
        <v>20.100000000000001</v>
      </c>
      <c r="AL10" s="264">
        <v>17.600000000000001</v>
      </c>
      <c r="AM10" s="264">
        <v>17.2</v>
      </c>
      <c r="AN10" s="264">
        <v>17.2</v>
      </c>
      <c r="AO10" s="264">
        <v>17.100000000000001</v>
      </c>
      <c r="AP10" s="264">
        <v>17.8</v>
      </c>
      <c r="AQ10" s="264">
        <v>17.5</v>
      </c>
      <c r="AR10" s="264">
        <v>17.100000000000001</v>
      </c>
      <c r="AS10" s="690">
        <v>17.2</v>
      </c>
    </row>
    <row r="11" spans="1:93" s="228" customFormat="1" ht="15" customHeight="1" x14ac:dyDescent="0.2">
      <c r="A11" s="226" t="s">
        <v>136</v>
      </c>
      <c r="B11" s="262">
        <v>30.2</v>
      </c>
      <c r="C11" s="262">
        <v>28.8</v>
      </c>
      <c r="D11" s="262">
        <v>27.7</v>
      </c>
      <c r="E11" s="262">
        <v>26.3</v>
      </c>
      <c r="F11" s="262">
        <v>27.3</v>
      </c>
      <c r="G11" s="262">
        <v>25.8</v>
      </c>
      <c r="H11" s="263">
        <v>24.4</v>
      </c>
      <c r="I11" s="263">
        <v>23.2</v>
      </c>
      <c r="J11" s="264">
        <v>24.6</v>
      </c>
      <c r="K11" s="264">
        <v>23.6</v>
      </c>
      <c r="L11" s="264">
        <v>21.7</v>
      </c>
      <c r="M11" s="264">
        <v>20.399999999999999</v>
      </c>
      <c r="N11" s="264">
        <v>22</v>
      </c>
      <c r="O11" s="264">
        <v>22.7</v>
      </c>
      <c r="P11" s="264">
        <v>22.4</v>
      </c>
      <c r="Q11" s="264">
        <v>22.1</v>
      </c>
      <c r="R11" s="264">
        <v>24.2</v>
      </c>
      <c r="S11" s="264">
        <v>23.2</v>
      </c>
      <c r="T11" s="264">
        <v>22.3</v>
      </c>
      <c r="U11" s="264">
        <v>21.5</v>
      </c>
      <c r="V11" s="264">
        <v>21.7</v>
      </c>
      <c r="W11" s="264">
        <v>20.9</v>
      </c>
      <c r="X11" s="264">
        <v>19.600000000000001</v>
      </c>
      <c r="Y11" s="264">
        <v>18.600000000000001</v>
      </c>
      <c r="Z11" s="264">
        <v>17.899999999999999</v>
      </c>
      <c r="AA11" s="264">
        <v>17.7</v>
      </c>
      <c r="AB11" s="264">
        <v>17.899999999999999</v>
      </c>
      <c r="AC11" s="264">
        <v>17.899999999999999</v>
      </c>
      <c r="AD11" s="264">
        <v>20.9</v>
      </c>
      <c r="AE11" s="264">
        <v>20.9</v>
      </c>
      <c r="AF11" s="264">
        <v>20.5</v>
      </c>
      <c r="AG11" s="264">
        <v>20.2</v>
      </c>
      <c r="AH11" s="264">
        <v>20.7</v>
      </c>
      <c r="AI11" s="264">
        <v>20.9</v>
      </c>
      <c r="AJ11" s="264">
        <v>20.9</v>
      </c>
      <c r="AK11" s="264">
        <v>20.89</v>
      </c>
      <c r="AL11" s="264">
        <v>18.3</v>
      </c>
      <c r="AM11" s="264">
        <v>17.899999999999999</v>
      </c>
      <c r="AN11" s="264">
        <v>18.100000000000001</v>
      </c>
      <c r="AO11" s="264">
        <v>18</v>
      </c>
      <c r="AP11" s="264">
        <v>18.3</v>
      </c>
      <c r="AQ11" s="264">
        <v>18.100000000000001</v>
      </c>
      <c r="AR11" s="264">
        <v>18</v>
      </c>
      <c r="AS11" s="690">
        <v>17.899999999999999</v>
      </c>
    </row>
    <row r="12" spans="1:93" s="228" customFormat="1" ht="15" customHeight="1" x14ac:dyDescent="0.2">
      <c r="A12" s="226" t="s">
        <v>564</v>
      </c>
      <c r="B12" s="262">
        <v>31.5</v>
      </c>
      <c r="C12" s="262">
        <v>29.3</v>
      </c>
      <c r="D12" s="262">
        <v>26.9</v>
      </c>
      <c r="E12" s="262">
        <v>25</v>
      </c>
      <c r="F12" s="262">
        <v>26.5</v>
      </c>
      <c r="G12" s="262">
        <v>25.3</v>
      </c>
      <c r="H12" s="263">
        <v>23.4</v>
      </c>
      <c r="I12" s="263">
        <v>21.8</v>
      </c>
      <c r="J12" s="264">
        <v>23.6</v>
      </c>
      <c r="K12" s="264">
        <v>22.2</v>
      </c>
      <c r="L12" s="264">
        <v>20.3</v>
      </c>
      <c r="M12" s="264">
        <v>18.3</v>
      </c>
      <c r="N12" s="264">
        <v>21.7</v>
      </c>
      <c r="O12" s="264">
        <v>21.8</v>
      </c>
      <c r="P12" s="264">
        <v>21.1</v>
      </c>
      <c r="Q12" s="264">
        <v>20.399999999999999</v>
      </c>
      <c r="R12" s="264">
        <v>23.1</v>
      </c>
      <c r="S12" s="264">
        <v>22.1</v>
      </c>
      <c r="T12" s="264">
        <v>21</v>
      </c>
      <c r="U12" s="264">
        <v>19.8</v>
      </c>
      <c r="V12" s="264">
        <v>20.9</v>
      </c>
      <c r="W12" s="264">
        <v>19.8</v>
      </c>
      <c r="X12" s="264">
        <v>18.899999999999999</v>
      </c>
      <c r="Y12" s="264">
        <v>18</v>
      </c>
      <c r="Z12" s="264">
        <v>19.100000000000001</v>
      </c>
      <c r="AA12" s="264">
        <v>18.2</v>
      </c>
      <c r="AB12" s="264">
        <v>17.5</v>
      </c>
      <c r="AC12" s="264">
        <v>17</v>
      </c>
      <c r="AD12" s="264">
        <v>20.100000000000001</v>
      </c>
      <c r="AE12" s="264">
        <v>19</v>
      </c>
      <c r="AF12" s="264">
        <v>18.899999999999999</v>
      </c>
      <c r="AG12" s="264">
        <v>18.7</v>
      </c>
      <c r="AH12" s="264">
        <v>20.2</v>
      </c>
      <c r="AI12" s="264">
        <v>20</v>
      </c>
      <c r="AJ12" s="264">
        <v>19.600000000000001</v>
      </c>
      <c r="AK12" s="264">
        <v>19.21</v>
      </c>
      <c r="AL12" s="264">
        <v>17.2</v>
      </c>
      <c r="AM12" s="264">
        <v>16.8</v>
      </c>
      <c r="AN12" s="264">
        <v>17.100000000000001</v>
      </c>
      <c r="AO12" s="264">
        <v>16.899999999999999</v>
      </c>
      <c r="AP12" s="264">
        <v>18</v>
      </c>
      <c r="AQ12" s="264">
        <v>17.600000000000001</v>
      </c>
      <c r="AR12" s="264">
        <v>17.600000000000001</v>
      </c>
      <c r="AS12" s="690">
        <v>17.5</v>
      </c>
    </row>
    <row r="13" spans="1:93" s="228" customFormat="1" ht="15" customHeight="1" x14ac:dyDescent="0.2">
      <c r="A13" s="226" t="s">
        <v>566</v>
      </c>
      <c r="B13" s="262">
        <v>32.6</v>
      </c>
      <c r="C13" s="262">
        <v>31.5</v>
      </c>
      <c r="D13" s="262">
        <v>30</v>
      </c>
      <c r="E13" s="262">
        <v>28.3</v>
      </c>
      <c r="F13" s="262">
        <v>28.7</v>
      </c>
      <c r="G13" s="262">
        <v>27.2</v>
      </c>
      <c r="H13" s="263">
        <v>25.4</v>
      </c>
      <c r="I13" s="263">
        <v>23.8</v>
      </c>
      <c r="J13" s="264">
        <v>24.1</v>
      </c>
      <c r="K13" s="264">
        <v>23.3</v>
      </c>
      <c r="L13" s="264">
        <v>21.5</v>
      </c>
      <c r="M13" s="264">
        <v>20.3</v>
      </c>
      <c r="N13" s="264">
        <v>22.2</v>
      </c>
      <c r="O13" s="264">
        <v>22.8</v>
      </c>
      <c r="P13" s="264">
        <v>22.5</v>
      </c>
      <c r="Q13" s="264">
        <v>22.2</v>
      </c>
      <c r="R13" s="264">
        <v>24.2</v>
      </c>
      <c r="S13" s="264">
        <v>23.2</v>
      </c>
      <c r="T13" s="264">
        <v>22.4</v>
      </c>
      <c r="U13" s="264">
        <v>21.3</v>
      </c>
      <c r="V13" s="264">
        <v>21.4</v>
      </c>
      <c r="W13" s="264">
        <v>20.6</v>
      </c>
      <c r="X13" s="264">
        <v>19.899999999999999</v>
      </c>
      <c r="Y13" s="264">
        <v>19.2</v>
      </c>
      <c r="Z13" s="264">
        <v>19.5</v>
      </c>
      <c r="AA13" s="264">
        <v>18.8</v>
      </c>
      <c r="AB13" s="264">
        <v>18.399999999999999</v>
      </c>
      <c r="AC13" s="264">
        <v>18</v>
      </c>
      <c r="AD13" s="264">
        <v>20.5</v>
      </c>
      <c r="AE13" s="264">
        <v>19.7</v>
      </c>
      <c r="AF13" s="264">
        <v>19.899999999999999</v>
      </c>
      <c r="AG13" s="264">
        <v>20.100000000000001</v>
      </c>
      <c r="AH13" s="264">
        <v>20.6</v>
      </c>
      <c r="AI13" s="264">
        <v>20.8</v>
      </c>
      <c r="AJ13" s="264">
        <v>20.7</v>
      </c>
      <c r="AK13" s="264">
        <v>20.51</v>
      </c>
      <c r="AL13" s="264">
        <v>17.5</v>
      </c>
      <c r="AM13" s="264">
        <v>17.399999999999999</v>
      </c>
      <c r="AN13" s="264">
        <v>17.600000000000001</v>
      </c>
      <c r="AO13" s="264">
        <v>17.600000000000001</v>
      </c>
      <c r="AP13" s="264">
        <v>18.3</v>
      </c>
      <c r="AQ13" s="264">
        <v>18.2</v>
      </c>
      <c r="AR13" s="264">
        <v>18.100000000000001</v>
      </c>
      <c r="AS13" s="690">
        <v>18.100000000000001</v>
      </c>
    </row>
    <row r="14" spans="1:93" s="228" customFormat="1" ht="15" customHeight="1" x14ac:dyDescent="0.2">
      <c r="A14" s="226" t="s">
        <v>137</v>
      </c>
      <c r="B14" s="262">
        <v>2.4</v>
      </c>
      <c r="C14" s="262">
        <v>2.4</v>
      </c>
      <c r="D14" s="262">
        <v>2.2999999999999998</v>
      </c>
      <c r="E14" s="262">
        <v>2.1</v>
      </c>
      <c r="F14" s="262">
        <v>2.2000000000000002</v>
      </c>
      <c r="G14" s="262">
        <v>2</v>
      </c>
      <c r="H14" s="263">
        <v>1.8</v>
      </c>
      <c r="I14" s="263">
        <v>1.7</v>
      </c>
      <c r="J14" s="264">
        <v>1.6</v>
      </c>
      <c r="K14" s="264">
        <v>1.6</v>
      </c>
      <c r="L14" s="264">
        <v>1.6</v>
      </c>
      <c r="M14" s="264">
        <v>1.5</v>
      </c>
      <c r="N14" s="264">
        <v>1.6</v>
      </c>
      <c r="O14" s="264">
        <v>1.7</v>
      </c>
      <c r="P14" s="264">
        <v>1.6</v>
      </c>
      <c r="Q14" s="264">
        <v>1.5</v>
      </c>
      <c r="R14" s="264">
        <v>1.6</v>
      </c>
      <c r="S14" s="264">
        <v>1.6</v>
      </c>
      <c r="T14" s="264">
        <v>1.6</v>
      </c>
      <c r="U14" s="264">
        <v>1.5</v>
      </c>
      <c r="V14" s="264">
        <v>1.5</v>
      </c>
      <c r="W14" s="264">
        <v>1.4</v>
      </c>
      <c r="X14" s="264">
        <v>1.3</v>
      </c>
      <c r="Y14" s="264">
        <v>1.3</v>
      </c>
      <c r="Z14" s="264">
        <v>1.3</v>
      </c>
      <c r="AA14" s="264">
        <v>1.3</v>
      </c>
      <c r="AB14" s="264">
        <v>1.3</v>
      </c>
      <c r="AC14" s="264">
        <v>1.4</v>
      </c>
      <c r="AD14" s="264">
        <v>1.5</v>
      </c>
      <c r="AE14" s="264">
        <v>1.6</v>
      </c>
      <c r="AF14" s="264">
        <v>1.5</v>
      </c>
      <c r="AG14" s="264">
        <v>1.5</v>
      </c>
      <c r="AH14" s="264">
        <v>1.7</v>
      </c>
      <c r="AI14" s="264">
        <v>1.7</v>
      </c>
      <c r="AJ14" s="264">
        <v>1.7</v>
      </c>
      <c r="AK14" s="264">
        <v>1.7</v>
      </c>
      <c r="AL14" s="264">
        <v>1.5</v>
      </c>
      <c r="AM14" s="264">
        <v>1.5</v>
      </c>
      <c r="AN14" s="264">
        <v>1.3</v>
      </c>
      <c r="AO14" s="264">
        <v>1.3</v>
      </c>
      <c r="AP14" s="264">
        <v>1.4</v>
      </c>
      <c r="AQ14" s="264">
        <v>1.4</v>
      </c>
      <c r="AR14" s="264">
        <v>1.4</v>
      </c>
      <c r="AS14" s="690">
        <v>1.5</v>
      </c>
    </row>
    <row r="15" spans="1:93" s="228" customFormat="1" ht="15" customHeight="1" x14ac:dyDescent="0.2">
      <c r="A15" s="226" t="s">
        <v>138</v>
      </c>
      <c r="B15" s="262">
        <v>2.5</v>
      </c>
      <c r="C15" s="262">
        <v>2.5</v>
      </c>
      <c r="D15" s="262">
        <v>2.5</v>
      </c>
      <c r="E15" s="262">
        <v>2.4</v>
      </c>
      <c r="F15" s="262">
        <v>2.2000000000000002</v>
      </c>
      <c r="G15" s="262">
        <v>2.1</v>
      </c>
      <c r="H15" s="266">
        <v>2</v>
      </c>
      <c r="I15" s="263">
        <v>1.9</v>
      </c>
      <c r="J15" s="264">
        <v>1.7</v>
      </c>
      <c r="K15" s="264">
        <v>1.7</v>
      </c>
      <c r="L15" s="264">
        <v>1.6</v>
      </c>
      <c r="M15" s="264">
        <v>1.6</v>
      </c>
      <c r="N15" s="264">
        <v>1.7</v>
      </c>
      <c r="O15" s="264">
        <v>1.7</v>
      </c>
      <c r="P15" s="264">
        <v>1.7</v>
      </c>
      <c r="Q15" s="264">
        <v>1.7</v>
      </c>
      <c r="R15" s="264">
        <v>1.7</v>
      </c>
      <c r="S15" s="264">
        <v>1.7</v>
      </c>
      <c r="T15" s="264">
        <v>1.7</v>
      </c>
      <c r="U15" s="264">
        <v>1.6</v>
      </c>
      <c r="V15" s="264">
        <v>1.5</v>
      </c>
      <c r="W15" s="264">
        <v>1.4</v>
      </c>
      <c r="X15" s="264">
        <v>1.4</v>
      </c>
      <c r="Y15" s="264">
        <v>1.4</v>
      </c>
      <c r="Z15" s="264">
        <v>1.3</v>
      </c>
      <c r="AA15" s="264">
        <v>1.3</v>
      </c>
      <c r="AB15" s="264">
        <v>1.3</v>
      </c>
      <c r="AC15" s="264">
        <v>1.4</v>
      </c>
      <c r="AD15" s="264">
        <v>1.5</v>
      </c>
      <c r="AE15" s="264">
        <v>1.6</v>
      </c>
      <c r="AF15" s="264">
        <v>1.6</v>
      </c>
      <c r="AG15" s="264">
        <v>1.6</v>
      </c>
      <c r="AH15" s="264">
        <v>1.7</v>
      </c>
      <c r="AI15" s="264">
        <v>1.7</v>
      </c>
      <c r="AJ15" s="264">
        <v>1.7</v>
      </c>
      <c r="AK15" s="264">
        <v>1.7</v>
      </c>
      <c r="AL15" s="264">
        <v>1.5</v>
      </c>
      <c r="AM15" s="264">
        <v>1.5</v>
      </c>
      <c r="AN15" s="264">
        <v>1.5</v>
      </c>
      <c r="AO15" s="264">
        <v>1.5</v>
      </c>
      <c r="AP15" s="264">
        <v>1.4</v>
      </c>
      <c r="AQ15" s="264">
        <v>1.4</v>
      </c>
      <c r="AR15" s="264">
        <v>1.5</v>
      </c>
      <c r="AS15" s="690">
        <v>1.5</v>
      </c>
    </row>
    <row r="16" spans="1:93" s="228" customFormat="1" ht="15" customHeight="1" x14ac:dyDescent="0.2">
      <c r="A16" s="226" t="s">
        <v>139</v>
      </c>
      <c r="B16" s="262">
        <v>9.1999999999999993</v>
      </c>
      <c r="C16" s="262">
        <v>9.5</v>
      </c>
      <c r="D16" s="262">
        <v>9.1999999999999993</v>
      </c>
      <c r="E16" s="262">
        <v>8.9</v>
      </c>
      <c r="F16" s="262">
        <v>9.3000000000000007</v>
      </c>
      <c r="G16" s="262">
        <v>8.4</v>
      </c>
      <c r="H16" s="263">
        <v>8.1</v>
      </c>
      <c r="I16" s="263">
        <v>7.5</v>
      </c>
      <c r="J16" s="264">
        <v>7.3</v>
      </c>
      <c r="K16" s="264">
        <v>7.7</v>
      </c>
      <c r="L16" s="264">
        <v>8</v>
      </c>
      <c r="M16" s="264">
        <v>8.3000000000000007</v>
      </c>
      <c r="N16" s="264">
        <v>8.1</v>
      </c>
      <c r="O16" s="264">
        <v>7.9</v>
      </c>
      <c r="P16" s="264">
        <v>7.5</v>
      </c>
      <c r="Q16" s="264">
        <v>7.5</v>
      </c>
      <c r="R16" s="267">
        <v>7.6</v>
      </c>
      <c r="S16" s="264">
        <v>7.7</v>
      </c>
      <c r="T16" s="264">
        <v>7.4</v>
      </c>
      <c r="U16" s="264">
        <v>7.3</v>
      </c>
      <c r="V16" s="267">
        <v>7.4</v>
      </c>
      <c r="W16" s="264">
        <v>7.7</v>
      </c>
      <c r="X16" s="264">
        <v>7.7</v>
      </c>
      <c r="Y16" s="264">
        <v>8</v>
      </c>
      <c r="Z16" s="267">
        <v>7.8</v>
      </c>
      <c r="AA16" s="264">
        <v>7.4</v>
      </c>
      <c r="AB16" s="264">
        <v>7.4</v>
      </c>
      <c r="AC16" s="264">
        <v>8</v>
      </c>
      <c r="AD16" s="264">
        <v>8</v>
      </c>
      <c r="AE16" s="264">
        <v>8.3000000000000007</v>
      </c>
      <c r="AF16" s="264">
        <v>8</v>
      </c>
      <c r="AG16" s="264">
        <v>7.9</v>
      </c>
      <c r="AH16" s="264">
        <v>8.1</v>
      </c>
      <c r="AI16" s="264">
        <v>8.5</v>
      </c>
      <c r="AJ16" s="264">
        <v>8.1999999999999993</v>
      </c>
      <c r="AK16" s="264">
        <v>8.1999999999999993</v>
      </c>
      <c r="AL16" s="264">
        <v>8.5</v>
      </c>
      <c r="AM16" s="264">
        <v>8.6999999999999993</v>
      </c>
      <c r="AN16" s="264" t="s">
        <v>33</v>
      </c>
      <c r="AO16" s="264" t="s">
        <v>33</v>
      </c>
      <c r="AP16" s="264">
        <v>8.1</v>
      </c>
      <c r="AQ16" s="264">
        <v>8.3000000000000007</v>
      </c>
      <c r="AR16" s="264">
        <v>8.4</v>
      </c>
      <c r="AS16" s="690">
        <v>8.5</v>
      </c>
    </row>
    <row r="17" spans="1:121" s="228" customFormat="1" ht="15" customHeight="1" x14ac:dyDescent="0.2">
      <c r="A17" s="226" t="s">
        <v>151</v>
      </c>
      <c r="B17" s="262">
        <v>17.8</v>
      </c>
      <c r="C17" s="262">
        <v>18.2</v>
      </c>
      <c r="D17" s="262">
        <v>16.3</v>
      </c>
      <c r="E17" s="262">
        <v>15.6</v>
      </c>
      <c r="F17" s="262">
        <v>15.6</v>
      </c>
      <c r="G17" s="262">
        <v>14.4</v>
      </c>
      <c r="H17" s="263">
        <v>16.2</v>
      </c>
      <c r="I17" s="263">
        <v>16.899999999999999</v>
      </c>
      <c r="J17" s="264">
        <v>16.600000000000001</v>
      </c>
      <c r="K17" s="264">
        <v>17.8</v>
      </c>
      <c r="L17" s="264">
        <v>17.899999999999999</v>
      </c>
      <c r="M17" s="264">
        <v>17.8</v>
      </c>
      <c r="N17" s="264">
        <v>16.8</v>
      </c>
      <c r="O17" s="264">
        <v>15.8</v>
      </c>
      <c r="P17" s="267">
        <v>16</v>
      </c>
      <c r="Q17" s="264">
        <v>15.07</v>
      </c>
      <c r="R17" s="267">
        <v>15.3</v>
      </c>
      <c r="S17" s="267">
        <v>14.9</v>
      </c>
      <c r="T17" s="264">
        <v>15</v>
      </c>
      <c r="U17" s="264">
        <v>15</v>
      </c>
      <c r="V17" s="267">
        <v>14.9</v>
      </c>
      <c r="W17" s="267">
        <v>16.8</v>
      </c>
      <c r="X17" s="264">
        <v>15.9</v>
      </c>
      <c r="Y17" s="264">
        <v>16.100000000000001</v>
      </c>
      <c r="Z17" s="267">
        <v>15.6</v>
      </c>
      <c r="AA17" s="267">
        <v>15.4</v>
      </c>
      <c r="AB17" s="267">
        <v>16.399999999999999</v>
      </c>
      <c r="AC17" s="264">
        <v>16.600000000000001</v>
      </c>
      <c r="AD17" s="264">
        <v>15.7</v>
      </c>
      <c r="AE17" s="264">
        <v>15.8</v>
      </c>
      <c r="AF17" s="264">
        <v>16.3</v>
      </c>
      <c r="AG17" s="264">
        <v>16.5</v>
      </c>
      <c r="AH17" s="264">
        <v>0</v>
      </c>
      <c r="AI17" s="264">
        <v>0</v>
      </c>
      <c r="AJ17" s="264">
        <v>0</v>
      </c>
      <c r="AK17" s="264">
        <v>0</v>
      </c>
      <c r="AL17" s="264">
        <v>0</v>
      </c>
      <c r="AM17" s="264">
        <v>0</v>
      </c>
      <c r="AN17" s="264">
        <v>0</v>
      </c>
      <c r="AO17" s="264">
        <v>0</v>
      </c>
      <c r="AP17" s="264">
        <v>0</v>
      </c>
      <c r="AQ17" s="264">
        <v>0</v>
      </c>
      <c r="AR17" s="264">
        <v>0</v>
      </c>
      <c r="AS17" s="690">
        <v>0</v>
      </c>
    </row>
    <row r="18" spans="1:121" s="228" customFormat="1" ht="15" customHeight="1" x14ac:dyDescent="0.2">
      <c r="A18" s="226" t="s">
        <v>140</v>
      </c>
      <c r="B18" s="264">
        <v>0</v>
      </c>
      <c r="C18" s="264">
        <v>0</v>
      </c>
      <c r="D18" s="264">
        <v>0</v>
      </c>
      <c r="E18" s="264">
        <v>0</v>
      </c>
      <c r="F18" s="264">
        <v>0</v>
      </c>
      <c r="G18" s="264">
        <v>0</v>
      </c>
      <c r="H18" s="264">
        <v>0</v>
      </c>
      <c r="I18" s="264">
        <v>0</v>
      </c>
      <c r="J18" s="264">
        <v>0</v>
      </c>
      <c r="K18" s="264">
        <v>0</v>
      </c>
      <c r="L18" s="264">
        <v>0</v>
      </c>
      <c r="M18" s="264">
        <v>0</v>
      </c>
      <c r="N18" s="264">
        <v>0</v>
      </c>
      <c r="O18" s="264">
        <v>0</v>
      </c>
      <c r="P18" s="264">
        <v>0</v>
      </c>
      <c r="Q18" s="264">
        <v>0</v>
      </c>
      <c r="R18" s="264">
        <v>0</v>
      </c>
      <c r="S18" s="264">
        <v>0</v>
      </c>
      <c r="T18" s="264">
        <v>0</v>
      </c>
      <c r="U18" s="264">
        <v>0</v>
      </c>
      <c r="V18" s="264">
        <v>0</v>
      </c>
      <c r="W18" s="264">
        <v>0</v>
      </c>
      <c r="X18" s="264">
        <v>0</v>
      </c>
      <c r="Y18" s="264">
        <v>0</v>
      </c>
      <c r="Z18" s="264">
        <v>0</v>
      </c>
      <c r="AA18" s="264">
        <v>0</v>
      </c>
      <c r="AB18" s="264">
        <v>0</v>
      </c>
      <c r="AC18" s="264">
        <v>0</v>
      </c>
      <c r="AD18" s="264">
        <v>0</v>
      </c>
      <c r="AE18" s="264">
        <v>0</v>
      </c>
      <c r="AF18" s="264">
        <v>0</v>
      </c>
      <c r="AG18" s="264">
        <v>0</v>
      </c>
      <c r="AH18" s="264">
        <v>15.2</v>
      </c>
      <c r="AI18" s="264">
        <v>16</v>
      </c>
      <c r="AJ18" s="264">
        <v>14.5</v>
      </c>
      <c r="AK18" s="264">
        <v>16.8</v>
      </c>
      <c r="AL18" s="264">
        <v>16.899999999999999</v>
      </c>
      <c r="AM18" s="264">
        <v>17.7</v>
      </c>
      <c r="AN18" s="264">
        <v>14.5</v>
      </c>
      <c r="AO18" s="264">
        <v>15.4</v>
      </c>
      <c r="AP18" s="264">
        <v>15.3</v>
      </c>
      <c r="AQ18" s="264">
        <v>16.7</v>
      </c>
      <c r="AR18" s="264">
        <v>17.7</v>
      </c>
      <c r="AS18" s="690">
        <v>17.100000000000001</v>
      </c>
    </row>
    <row r="19" spans="1:121" s="228" customFormat="1" ht="15" customHeight="1" x14ac:dyDescent="0.2">
      <c r="A19" s="226" t="s">
        <v>141</v>
      </c>
      <c r="B19" s="262">
        <v>15.7</v>
      </c>
      <c r="C19" s="262">
        <v>16.100000000000001</v>
      </c>
      <c r="D19" s="262">
        <v>14.2</v>
      </c>
      <c r="E19" s="262">
        <v>14</v>
      </c>
      <c r="F19" s="262">
        <v>13.9</v>
      </c>
      <c r="G19" s="262">
        <v>12.9</v>
      </c>
      <c r="H19" s="263">
        <v>15.6</v>
      </c>
      <c r="I19" s="263">
        <v>16.100000000000001</v>
      </c>
      <c r="J19" s="264">
        <v>16</v>
      </c>
      <c r="K19" s="264">
        <v>17</v>
      </c>
      <c r="L19" s="264">
        <v>17.7</v>
      </c>
      <c r="M19" s="264">
        <v>17.8</v>
      </c>
      <c r="N19" s="264">
        <v>16.8</v>
      </c>
      <c r="O19" s="264">
        <v>15.9</v>
      </c>
      <c r="P19" s="267">
        <v>15.7</v>
      </c>
      <c r="Q19" s="264">
        <v>14.74</v>
      </c>
      <c r="R19" s="267">
        <v>15</v>
      </c>
      <c r="S19" s="267">
        <v>14.7</v>
      </c>
      <c r="T19" s="264">
        <v>14.7</v>
      </c>
      <c r="U19" s="264">
        <v>15.1</v>
      </c>
      <c r="V19" s="267">
        <v>15</v>
      </c>
      <c r="W19" s="267">
        <v>17</v>
      </c>
      <c r="X19" s="264">
        <v>16</v>
      </c>
      <c r="Y19" s="264">
        <v>16.2</v>
      </c>
      <c r="Z19" s="267">
        <v>15.6</v>
      </c>
      <c r="AA19" s="267">
        <v>15.4</v>
      </c>
      <c r="AB19" s="267">
        <v>16.399999999999999</v>
      </c>
      <c r="AC19" s="264">
        <v>0</v>
      </c>
      <c r="AD19" s="264">
        <v>0</v>
      </c>
      <c r="AE19" s="264">
        <v>0</v>
      </c>
      <c r="AF19" s="264">
        <v>0</v>
      </c>
      <c r="AG19" s="264">
        <v>0</v>
      </c>
      <c r="AH19" s="264">
        <v>0</v>
      </c>
      <c r="AI19" s="264">
        <v>0</v>
      </c>
      <c r="AJ19" s="264">
        <v>0</v>
      </c>
      <c r="AK19" s="264">
        <v>0</v>
      </c>
      <c r="AL19" s="264">
        <v>0</v>
      </c>
      <c r="AM19" s="264">
        <v>0</v>
      </c>
      <c r="AN19" s="264">
        <v>0</v>
      </c>
      <c r="AO19" s="264">
        <v>0</v>
      </c>
      <c r="AP19" s="264">
        <v>0</v>
      </c>
      <c r="AQ19" s="264">
        <v>0</v>
      </c>
      <c r="AR19" s="264">
        <v>0</v>
      </c>
      <c r="AS19" s="690">
        <v>0</v>
      </c>
    </row>
    <row r="20" spans="1:121" s="228" customFormat="1" ht="15" customHeight="1" x14ac:dyDescent="0.2">
      <c r="A20" s="226" t="s">
        <v>142</v>
      </c>
      <c r="B20" s="262">
        <v>49.2</v>
      </c>
      <c r="C20" s="262">
        <v>47.4</v>
      </c>
      <c r="D20" s="262">
        <v>48.9</v>
      </c>
      <c r="E20" s="262">
        <v>45.8</v>
      </c>
      <c r="F20" s="262">
        <v>47.7</v>
      </c>
      <c r="G20" s="262">
        <v>47.3</v>
      </c>
      <c r="H20" s="263">
        <v>47.4</v>
      </c>
      <c r="I20" s="266">
        <v>48</v>
      </c>
      <c r="J20" s="264">
        <v>48.9</v>
      </c>
      <c r="K20" s="264">
        <v>45.6</v>
      </c>
      <c r="L20" s="264">
        <v>44.3</v>
      </c>
      <c r="M20" s="264">
        <v>45.7</v>
      </c>
      <c r="N20" s="264">
        <v>45.1</v>
      </c>
      <c r="O20" s="264">
        <v>48</v>
      </c>
      <c r="P20" s="264">
        <v>47.3</v>
      </c>
      <c r="Q20" s="264">
        <v>49.7</v>
      </c>
      <c r="R20" s="267">
        <v>47.7</v>
      </c>
      <c r="S20" s="264">
        <v>47.1</v>
      </c>
      <c r="T20" s="264">
        <v>44.1</v>
      </c>
      <c r="U20" s="264">
        <v>48.4</v>
      </c>
      <c r="V20" s="267">
        <v>47.7</v>
      </c>
      <c r="W20" s="264">
        <v>43.5</v>
      </c>
      <c r="X20" s="264">
        <v>45</v>
      </c>
      <c r="Y20" s="264">
        <v>44.7</v>
      </c>
      <c r="Z20" s="267">
        <v>43.7</v>
      </c>
      <c r="AA20" s="264">
        <v>44.3</v>
      </c>
      <c r="AB20" s="264">
        <v>45.1</v>
      </c>
      <c r="AC20" s="264">
        <v>45.4</v>
      </c>
      <c r="AD20" s="264">
        <v>47.1</v>
      </c>
      <c r="AE20" s="264">
        <v>46.7</v>
      </c>
      <c r="AF20" s="264">
        <v>46.8</v>
      </c>
      <c r="AG20" s="264">
        <v>47.2</v>
      </c>
      <c r="AH20" s="264">
        <v>0</v>
      </c>
      <c r="AI20" s="264">
        <v>0</v>
      </c>
      <c r="AJ20" s="264">
        <v>0</v>
      </c>
      <c r="AK20" s="264">
        <v>0</v>
      </c>
      <c r="AL20" s="264">
        <v>0</v>
      </c>
      <c r="AM20" s="264">
        <v>0</v>
      </c>
      <c r="AN20" s="264">
        <v>0</v>
      </c>
      <c r="AO20" s="264">
        <v>0</v>
      </c>
      <c r="AP20" s="264">
        <v>0</v>
      </c>
      <c r="AQ20" s="264">
        <v>0</v>
      </c>
      <c r="AR20" s="264">
        <v>0</v>
      </c>
      <c r="AS20" s="690">
        <v>0</v>
      </c>
    </row>
    <row r="21" spans="1:121" s="228" customFormat="1" ht="15" customHeight="1" x14ac:dyDescent="0.2">
      <c r="A21" s="226" t="s">
        <v>143</v>
      </c>
      <c r="B21" s="264">
        <v>0</v>
      </c>
      <c r="C21" s="264">
        <v>0</v>
      </c>
      <c r="D21" s="264">
        <v>0</v>
      </c>
      <c r="E21" s="264">
        <v>0</v>
      </c>
      <c r="F21" s="264">
        <v>0</v>
      </c>
      <c r="G21" s="264">
        <v>0</v>
      </c>
      <c r="H21" s="264">
        <v>0</v>
      </c>
      <c r="I21" s="264">
        <v>0</v>
      </c>
      <c r="J21" s="264">
        <v>0</v>
      </c>
      <c r="K21" s="264">
        <v>0</v>
      </c>
      <c r="L21" s="264">
        <v>0</v>
      </c>
      <c r="M21" s="264">
        <v>0</v>
      </c>
      <c r="N21" s="264">
        <v>0</v>
      </c>
      <c r="O21" s="264">
        <v>0</v>
      </c>
      <c r="P21" s="264">
        <v>0</v>
      </c>
      <c r="Q21" s="264">
        <v>0</v>
      </c>
      <c r="R21" s="264">
        <v>0</v>
      </c>
      <c r="S21" s="264">
        <v>0</v>
      </c>
      <c r="T21" s="264">
        <v>0</v>
      </c>
      <c r="U21" s="264">
        <v>0</v>
      </c>
      <c r="V21" s="264">
        <v>0</v>
      </c>
      <c r="W21" s="264">
        <v>0</v>
      </c>
      <c r="X21" s="264">
        <v>0</v>
      </c>
      <c r="Y21" s="264">
        <v>0</v>
      </c>
      <c r="Z21" s="264">
        <v>0</v>
      </c>
      <c r="AA21" s="264">
        <v>0</v>
      </c>
      <c r="AB21" s="264">
        <v>0</v>
      </c>
      <c r="AC21" s="264">
        <v>0</v>
      </c>
      <c r="AD21" s="264">
        <v>0</v>
      </c>
      <c r="AE21" s="264">
        <v>0</v>
      </c>
      <c r="AF21" s="264">
        <v>0</v>
      </c>
      <c r="AG21" s="264">
        <v>0</v>
      </c>
      <c r="AH21" s="264">
        <v>47.9</v>
      </c>
      <c r="AI21" s="264">
        <v>39.6</v>
      </c>
      <c r="AJ21" s="264">
        <v>38.6</v>
      </c>
      <c r="AK21" s="264">
        <v>35.200000000000003</v>
      </c>
      <c r="AL21" s="264">
        <v>34</v>
      </c>
      <c r="AM21" s="264">
        <v>33.799999999999997</v>
      </c>
      <c r="AN21" s="264">
        <v>44.4</v>
      </c>
      <c r="AO21" s="264">
        <v>44.8</v>
      </c>
      <c r="AP21" s="264">
        <v>42.3</v>
      </c>
      <c r="AQ21" s="264">
        <v>39.6</v>
      </c>
      <c r="AR21" s="264">
        <v>38.9</v>
      </c>
      <c r="AS21" s="690">
        <v>43.4</v>
      </c>
    </row>
    <row r="22" spans="1:121" s="228" customFormat="1" ht="15" customHeight="1" x14ac:dyDescent="0.2">
      <c r="A22" s="226" t="s">
        <v>144</v>
      </c>
      <c r="B22" s="262">
        <v>11.4</v>
      </c>
      <c r="C22" s="262">
        <v>8.5</v>
      </c>
      <c r="D22" s="262">
        <v>14.7</v>
      </c>
      <c r="E22" s="262">
        <v>14.5</v>
      </c>
      <c r="F22" s="262">
        <v>12.1</v>
      </c>
      <c r="G22" s="262">
        <v>16.2</v>
      </c>
      <c r="H22" s="263">
        <v>17.600000000000001</v>
      </c>
      <c r="I22" s="263">
        <v>13.5</v>
      </c>
      <c r="J22" s="264">
        <v>14.1</v>
      </c>
      <c r="K22" s="264">
        <v>15.1</v>
      </c>
      <c r="L22" s="264">
        <v>15.4</v>
      </c>
      <c r="M22" s="264">
        <v>18.600000000000001</v>
      </c>
      <c r="N22" s="264">
        <v>19.8</v>
      </c>
      <c r="O22" s="264">
        <v>20.9</v>
      </c>
      <c r="P22" s="264">
        <v>16.7</v>
      </c>
      <c r="Q22" s="264">
        <v>18.100000000000001</v>
      </c>
      <c r="R22" s="264">
        <v>17.399999999999999</v>
      </c>
      <c r="S22" s="264">
        <v>17.3</v>
      </c>
      <c r="T22" s="264">
        <v>16.7</v>
      </c>
      <c r="U22" s="264">
        <v>21</v>
      </c>
      <c r="V22" s="264">
        <v>19.899999999999999</v>
      </c>
      <c r="W22" s="264">
        <v>18.2</v>
      </c>
      <c r="X22" s="264">
        <v>19</v>
      </c>
      <c r="Y22" s="264">
        <v>16.899999999999999</v>
      </c>
      <c r="Z22" s="264">
        <v>16.5</v>
      </c>
      <c r="AA22" s="264">
        <v>17.3</v>
      </c>
      <c r="AB22" s="264">
        <v>17.5</v>
      </c>
      <c r="AC22" s="264">
        <v>15.2</v>
      </c>
      <c r="AD22" s="264">
        <v>15</v>
      </c>
      <c r="AE22" s="264">
        <v>13.2</v>
      </c>
      <c r="AF22" s="264">
        <v>13</v>
      </c>
      <c r="AG22" s="264">
        <v>13.2</v>
      </c>
      <c r="AH22" s="264">
        <v>0</v>
      </c>
      <c r="AI22" s="264">
        <v>0</v>
      </c>
      <c r="AJ22" s="264">
        <v>0</v>
      </c>
      <c r="AK22" s="264">
        <v>0</v>
      </c>
      <c r="AL22" s="264">
        <v>0</v>
      </c>
      <c r="AM22" s="264">
        <v>0</v>
      </c>
      <c r="AN22" s="264">
        <v>0</v>
      </c>
      <c r="AO22" s="264">
        <v>0</v>
      </c>
      <c r="AP22" s="264">
        <v>0</v>
      </c>
      <c r="AQ22" s="264">
        <v>0</v>
      </c>
      <c r="AR22" s="264">
        <v>0</v>
      </c>
      <c r="AS22" s="690">
        <v>0</v>
      </c>
    </row>
    <row r="23" spans="1:121" s="228" customFormat="1" ht="15" customHeight="1" x14ac:dyDescent="0.2">
      <c r="A23" s="226" t="s">
        <v>145</v>
      </c>
      <c r="B23" s="268">
        <v>95.9</v>
      </c>
      <c r="C23" s="268">
        <v>88.7</v>
      </c>
      <c r="D23" s="268">
        <v>92.3</v>
      </c>
      <c r="E23" s="268">
        <v>92.8</v>
      </c>
      <c r="F23" s="268">
        <v>83.9</v>
      </c>
      <c r="G23" s="268">
        <v>84.9</v>
      </c>
      <c r="H23" s="269">
        <v>84.4</v>
      </c>
      <c r="I23" s="269">
        <v>89.7</v>
      </c>
      <c r="J23" s="264">
        <v>86.2</v>
      </c>
      <c r="K23" s="267">
        <v>85.5</v>
      </c>
      <c r="L23" s="264">
        <v>88.9</v>
      </c>
      <c r="M23" s="264">
        <v>85.3</v>
      </c>
      <c r="N23" s="264">
        <v>85.2</v>
      </c>
      <c r="O23" s="264">
        <v>84.7</v>
      </c>
      <c r="P23" s="267">
        <v>85.3</v>
      </c>
      <c r="Q23" s="267">
        <v>85.1</v>
      </c>
      <c r="R23" s="264">
        <v>86.1</v>
      </c>
      <c r="S23" s="264">
        <v>85.8</v>
      </c>
      <c r="T23" s="264">
        <v>86.2</v>
      </c>
      <c r="U23" s="264">
        <v>83.6</v>
      </c>
      <c r="V23" s="264">
        <v>85.6</v>
      </c>
      <c r="W23" s="264">
        <v>85</v>
      </c>
      <c r="X23" s="264">
        <v>86.4</v>
      </c>
      <c r="Y23" s="264">
        <v>86.6</v>
      </c>
      <c r="Z23" s="264">
        <v>86</v>
      </c>
      <c r="AA23" s="264">
        <v>85.5</v>
      </c>
      <c r="AB23" s="264">
        <v>86.9</v>
      </c>
      <c r="AC23" s="264">
        <v>86.1</v>
      </c>
      <c r="AD23" s="264">
        <v>86.4</v>
      </c>
      <c r="AE23" s="264">
        <v>86.3</v>
      </c>
      <c r="AF23" s="264">
        <v>86.5</v>
      </c>
      <c r="AG23" s="264">
        <v>85.9</v>
      </c>
      <c r="AH23" s="264">
        <v>86.8</v>
      </c>
      <c r="AI23" s="264">
        <v>86.5</v>
      </c>
      <c r="AJ23" s="264">
        <v>86.9</v>
      </c>
      <c r="AK23" s="264">
        <v>86.5</v>
      </c>
      <c r="AL23" s="264">
        <v>86.1</v>
      </c>
      <c r="AM23" s="264">
        <v>89.6</v>
      </c>
      <c r="AN23" s="264">
        <v>90</v>
      </c>
      <c r="AO23" s="264">
        <v>85.9</v>
      </c>
      <c r="AP23" s="264">
        <v>85.2</v>
      </c>
      <c r="AQ23" s="264">
        <v>86.6</v>
      </c>
      <c r="AR23" s="264">
        <v>86.2</v>
      </c>
      <c r="AS23" s="690">
        <v>86.1</v>
      </c>
    </row>
    <row r="24" spans="1:121" s="688" customFormat="1" ht="15" customHeight="1" x14ac:dyDescent="0.2">
      <c r="A24" s="226" t="s">
        <v>146</v>
      </c>
      <c r="B24" s="262">
        <v>43.2</v>
      </c>
      <c r="C24" s="262">
        <v>43.2</v>
      </c>
      <c r="D24" s="262">
        <v>43</v>
      </c>
      <c r="E24" s="262">
        <v>43.1</v>
      </c>
      <c r="F24" s="262">
        <v>42.9</v>
      </c>
      <c r="G24" s="262">
        <v>42.6</v>
      </c>
      <c r="H24" s="270">
        <v>43</v>
      </c>
      <c r="I24" s="262">
        <v>43.3</v>
      </c>
      <c r="J24" s="262">
        <v>42.5</v>
      </c>
      <c r="K24" s="262">
        <v>41.5</v>
      </c>
      <c r="L24" s="262">
        <v>40.9</v>
      </c>
      <c r="M24" s="262">
        <v>40.5</v>
      </c>
      <c r="N24" s="262">
        <v>41.2</v>
      </c>
      <c r="O24" s="262">
        <v>42</v>
      </c>
      <c r="P24" s="271">
        <v>42.5</v>
      </c>
      <c r="Q24" s="271">
        <v>42.7</v>
      </c>
      <c r="R24" s="262">
        <v>42.7</v>
      </c>
      <c r="S24" s="262">
        <v>42.7</v>
      </c>
      <c r="T24" s="262">
        <v>42.7</v>
      </c>
      <c r="U24" s="262">
        <v>43</v>
      </c>
      <c r="V24" s="262">
        <v>42.7</v>
      </c>
      <c r="W24" s="262">
        <v>42.4</v>
      </c>
      <c r="X24" s="262">
        <v>42.1</v>
      </c>
      <c r="Y24" s="262">
        <v>41.5</v>
      </c>
      <c r="Z24" s="262">
        <v>41.5</v>
      </c>
      <c r="AA24" s="262">
        <v>41.8</v>
      </c>
      <c r="AB24" s="262">
        <v>42.1</v>
      </c>
      <c r="AC24" s="264">
        <v>42.1</v>
      </c>
      <c r="AD24" s="264">
        <v>41.9</v>
      </c>
      <c r="AE24" s="264">
        <v>40.9</v>
      </c>
      <c r="AF24" s="264">
        <v>39.9</v>
      </c>
      <c r="AG24" s="264">
        <v>39.200000000000003</v>
      </c>
      <c r="AH24" s="264">
        <v>38.299999999999997</v>
      </c>
      <c r="AI24" s="264">
        <v>37.9</v>
      </c>
      <c r="AJ24" s="264">
        <v>37.9</v>
      </c>
      <c r="AK24" s="264">
        <v>37.548999999999999</v>
      </c>
      <c r="AL24" s="264">
        <v>37.200000000000003</v>
      </c>
      <c r="AM24" s="264">
        <v>37.4</v>
      </c>
      <c r="AN24" s="264">
        <v>38.200000000000003</v>
      </c>
      <c r="AO24" s="264">
        <v>38.9</v>
      </c>
      <c r="AP24" s="264">
        <v>40</v>
      </c>
      <c r="AQ24" s="264">
        <v>40.6</v>
      </c>
      <c r="AR24" s="264">
        <v>40.700000000000003</v>
      </c>
      <c r="AS24" s="690">
        <v>40.799999999999997</v>
      </c>
    </row>
    <row r="25" spans="1:121" s="688" customFormat="1" ht="15" customHeight="1" x14ac:dyDescent="0.2">
      <c r="A25" s="272" t="s">
        <v>147</v>
      </c>
      <c r="B25" s="262">
        <v>73.099999999999994</v>
      </c>
      <c r="C25" s="262">
        <v>74.2</v>
      </c>
      <c r="D25" s="262">
        <v>75.3</v>
      </c>
      <c r="E25" s="262">
        <v>75</v>
      </c>
      <c r="F25" s="262">
        <v>73.7</v>
      </c>
      <c r="G25" s="262">
        <v>72.7</v>
      </c>
      <c r="H25" s="273">
        <v>70.400000000000006</v>
      </c>
      <c r="I25" s="273">
        <v>68.400000000000006</v>
      </c>
      <c r="J25" s="274">
        <v>67.2</v>
      </c>
      <c r="K25" s="274">
        <v>67.3</v>
      </c>
      <c r="L25" s="274">
        <v>66.400000000000006</v>
      </c>
      <c r="M25" s="274">
        <v>66.5</v>
      </c>
      <c r="N25" s="274">
        <v>66</v>
      </c>
      <c r="O25" s="274">
        <v>64.900000000000006</v>
      </c>
      <c r="P25" s="275">
        <v>65.099999999999994</v>
      </c>
      <c r="Q25" s="275">
        <v>64.2</v>
      </c>
      <c r="R25" s="274">
        <v>63.6</v>
      </c>
      <c r="S25" s="274">
        <v>63.5</v>
      </c>
      <c r="T25" s="274">
        <v>62.7</v>
      </c>
      <c r="U25" s="274">
        <v>62.2</v>
      </c>
      <c r="V25" s="262">
        <v>62.9</v>
      </c>
      <c r="W25" s="262">
        <v>63.2</v>
      </c>
      <c r="X25" s="274">
        <v>64.400000000000006</v>
      </c>
      <c r="Y25" s="274">
        <v>66.5</v>
      </c>
      <c r="Z25" s="262">
        <v>67.7</v>
      </c>
      <c r="AA25" s="262">
        <v>69.599999999999994</v>
      </c>
      <c r="AB25" s="262">
        <v>70.8</v>
      </c>
      <c r="AC25" s="264">
        <v>71.8</v>
      </c>
      <c r="AD25" s="264">
        <v>73.599999999999994</v>
      </c>
      <c r="AE25" s="264">
        <v>74.099999999999994</v>
      </c>
      <c r="AF25" s="264">
        <v>75.900000000000006</v>
      </c>
      <c r="AG25" s="264">
        <v>76.7</v>
      </c>
      <c r="AH25" s="264">
        <v>77.400000000000006</v>
      </c>
      <c r="AI25" s="264">
        <v>78.7</v>
      </c>
      <c r="AJ25" s="264">
        <v>79.099999999999994</v>
      </c>
      <c r="AK25" s="264">
        <v>80</v>
      </c>
      <c r="AL25" s="264">
        <v>80.099999999999994</v>
      </c>
      <c r="AM25" s="264">
        <v>80.2</v>
      </c>
      <c r="AN25" s="264">
        <v>78</v>
      </c>
      <c r="AO25" s="264">
        <v>76.2</v>
      </c>
      <c r="AP25" s="264">
        <v>75.3</v>
      </c>
      <c r="AQ25" s="264">
        <v>74.3</v>
      </c>
      <c r="AR25" s="264">
        <v>75.900000000000006</v>
      </c>
      <c r="AS25" s="690">
        <v>77.8</v>
      </c>
    </row>
    <row r="26" spans="1:121" s="688" customFormat="1" ht="15" customHeight="1" x14ac:dyDescent="0.2">
      <c r="A26" s="272" t="s">
        <v>148</v>
      </c>
      <c r="B26" s="268">
        <v>72.900000000000006</v>
      </c>
      <c r="C26" s="268">
        <v>78.7</v>
      </c>
      <c r="D26" s="268">
        <v>73.3</v>
      </c>
      <c r="E26" s="268">
        <v>75</v>
      </c>
      <c r="F26" s="268">
        <v>73.400000000000006</v>
      </c>
      <c r="G26" s="268">
        <v>73.099999999999994</v>
      </c>
      <c r="H26" s="269">
        <v>72.400000000000006</v>
      </c>
      <c r="I26" s="262">
        <v>78</v>
      </c>
      <c r="J26" s="262">
        <v>73.7</v>
      </c>
      <c r="K26" s="262">
        <v>73.3</v>
      </c>
      <c r="L26" s="262">
        <v>77.2</v>
      </c>
      <c r="M26" s="262">
        <v>74.3</v>
      </c>
      <c r="N26" s="262">
        <v>73.3</v>
      </c>
      <c r="O26" s="262">
        <v>71.8</v>
      </c>
      <c r="P26" s="271">
        <v>72.400000000000006</v>
      </c>
      <c r="Q26" s="262">
        <v>71.099999999999994</v>
      </c>
      <c r="R26" s="271">
        <v>72</v>
      </c>
      <c r="S26" s="262">
        <v>72.2</v>
      </c>
      <c r="T26" s="262">
        <v>71.5</v>
      </c>
      <c r="U26" s="262">
        <v>68.599999999999994</v>
      </c>
      <c r="V26" s="262">
        <v>71.900000000000006</v>
      </c>
      <c r="W26" s="262">
        <v>71.3</v>
      </c>
      <c r="X26" s="262">
        <v>70.400000000000006</v>
      </c>
      <c r="Y26" s="262">
        <v>70.5</v>
      </c>
      <c r="Z26" s="262">
        <v>69.599999999999994</v>
      </c>
      <c r="AA26" s="262">
        <v>71.099999999999994</v>
      </c>
      <c r="AB26" s="262">
        <v>72.7</v>
      </c>
      <c r="AC26" s="264">
        <v>71.099999999999994</v>
      </c>
      <c r="AD26" s="264">
        <v>70.099999999999994</v>
      </c>
      <c r="AE26" s="264">
        <v>70.2</v>
      </c>
      <c r="AF26" s="264">
        <v>72.7</v>
      </c>
      <c r="AG26" s="264">
        <v>70.900000000000006</v>
      </c>
      <c r="AH26" s="264">
        <v>71.7</v>
      </c>
      <c r="AI26" s="264">
        <v>71.400000000000006</v>
      </c>
      <c r="AJ26" s="264">
        <v>73.099999999999994</v>
      </c>
      <c r="AK26" s="264">
        <v>71.900000000000006</v>
      </c>
      <c r="AL26" s="264">
        <v>72.099999999999994</v>
      </c>
      <c r="AM26" s="264">
        <v>76.8</v>
      </c>
      <c r="AN26" s="264">
        <v>77.099999999999994</v>
      </c>
      <c r="AO26" s="264">
        <v>72.8</v>
      </c>
      <c r="AP26" s="264">
        <v>73.7</v>
      </c>
      <c r="AQ26" s="264">
        <v>76.599999999999994</v>
      </c>
      <c r="AR26" s="264">
        <v>75</v>
      </c>
      <c r="AS26" s="690">
        <v>74</v>
      </c>
    </row>
    <row r="27" spans="1:121" customFormat="1" ht="5.0999999999999996" customHeight="1" x14ac:dyDescent="0.2">
      <c r="A27" s="4"/>
      <c r="B27" s="5"/>
      <c r="C27" s="5"/>
      <c r="D27" s="5"/>
      <c r="E27" s="5"/>
      <c r="F27" s="5"/>
      <c r="G27" s="5"/>
      <c r="H27" s="5"/>
      <c r="I27" s="5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7"/>
      <c r="AP27" s="559"/>
      <c r="AQ27" s="559"/>
      <c r="AR27" s="559"/>
      <c r="AS27" s="559"/>
    </row>
    <row r="28" spans="1:121" s="178" customFormat="1" ht="9.9499999999999993" customHeight="1" thickBot="1" x14ac:dyDescent="0.25">
      <c r="A28" s="175"/>
      <c r="B28" s="176"/>
      <c r="C28" s="176"/>
      <c r="D28" s="176"/>
      <c r="E28" s="176"/>
      <c r="F28" s="176"/>
      <c r="G28" s="176"/>
      <c r="H28" s="176"/>
      <c r="I28" s="176"/>
      <c r="J28" s="176"/>
      <c r="K28" s="176"/>
      <c r="L28" s="176"/>
      <c r="M28" s="176"/>
      <c r="N28" s="176"/>
      <c r="O28" s="176"/>
      <c r="P28" s="176"/>
      <c r="Q28" s="176"/>
      <c r="R28" s="176"/>
      <c r="S28" s="176"/>
      <c r="T28" s="176"/>
      <c r="U28" s="176"/>
      <c r="V28" s="176"/>
      <c r="W28" s="176"/>
      <c r="X28" s="176"/>
      <c r="Y28" s="176"/>
      <c r="Z28" s="176"/>
      <c r="AA28" s="176"/>
      <c r="AB28" s="176"/>
      <c r="AC28" s="176"/>
      <c r="AD28" s="176"/>
      <c r="AE28" s="176"/>
      <c r="AF28" s="176"/>
      <c r="AG28" s="176"/>
      <c r="AH28" s="176"/>
      <c r="AI28" s="176"/>
      <c r="AJ28" s="176"/>
      <c r="AK28" s="176"/>
      <c r="AL28" s="176"/>
      <c r="AM28" s="176"/>
      <c r="AN28" s="176"/>
      <c r="AO28" s="176"/>
      <c r="AP28" s="176"/>
      <c r="AQ28" s="176"/>
      <c r="AR28" s="176"/>
      <c r="AS28" s="176"/>
      <c r="AT28" s="193"/>
      <c r="AU28" s="193"/>
      <c r="AV28" s="193"/>
      <c r="AW28" s="193"/>
      <c r="AX28" s="193"/>
      <c r="AY28" s="193"/>
      <c r="AZ28" s="193"/>
      <c r="BA28" s="193"/>
      <c r="BB28" s="193"/>
      <c r="BC28" s="193"/>
      <c r="BD28" s="193"/>
      <c r="BE28" s="193"/>
      <c r="BF28" s="193"/>
      <c r="BG28" s="193"/>
      <c r="BH28" s="193"/>
      <c r="BI28" s="193"/>
      <c r="BJ28" s="193"/>
      <c r="BK28" s="193"/>
      <c r="BL28" s="193"/>
      <c r="BM28" s="193"/>
      <c r="BN28" s="193"/>
      <c r="BO28" s="193"/>
      <c r="BP28" s="193"/>
      <c r="BQ28" s="193"/>
      <c r="BR28" s="193"/>
      <c r="BS28" s="193"/>
      <c r="BT28" s="193"/>
      <c r="BU28" s="193"/>
      <c r="BV28" s="193"/>
      <c r="BW28" s="193"/>
      <c r="BX28" s="193"/>
      <c r="BY28" s="193"/>
      <c r="BZ28" s="193"/>
      <c r="CA28" s="193"/>
      <c r="CB28" s="193"/>
      <c r="CC28" s="193"/>
      <c r="CD28" s="193"/>
      <c r="CE28" s="193"/>
      <c r="CF28" s="193"/>
      <c r="CG28" s="193"/>
      <c r="CH28" s="193"/>
      <c r="CI28" s="193"/>
      <c r="CJ28" s="193"/>
      <c r="CK28" s="193"/>
      <c r="CL28" s="193"/>
      <c r="CM28" s="193"/>
      <c r="CN28" s="193"/>
      <c r="CO28" s="193"/>
      <c r="CP28" s="193"/>
      <c r="CQ28" s="193"/>
      <c r="CR28" s="193"/>
      <c r="CS28" s="193"/>
      <c r="CT28" s="193"/>
      <c r="CU28" s="193"/>
      <c r="CV28" s="193"/>
      <c r="CW28" s="193"/>
      <c r="CX28" s="193"/>
      <c r="CY28" s="193"/>
      <c r="CZ28" s="193"/>
      <c r="DA28" s="193"/>
      <c r="DB28" s="193"/>
      <c r="DC28" s="193"/>
      <c r="DD28" s="193"/>
      <c r="DE28" s="193"/>
      <c r="DF28" s="193"/>
      <c r="DG28" s="193"/>
      <c r="DH28" s="193"/>
      <c r="DI28" s="193"/>
      <c r="DJ28" s="193"/>
      <c r="DK28" s="193"/>
      <c r="DL28" s="193"/>
      <c r="DM28" s="193"/>
      <c r="DN28" s="193"/>
      <c r="DO28" s="193"/>
      <c r="DP28" s="193"/>
      <c r="DQ28" s="193"/>
    </row>
    <row r="29" spans="1:121" customFormat="1" ht="9.9499999999999993" customHeight="1" thickTop="1" x14ac:dyDescent="0.2">
      <c r="A29" s="272"/>
      <c r="B29" s="9"/>
      <c r="C29" s="9"/>
      <c r="D29" s="9"/>
      <c r="E29" s="9"/>
      <c r="F29" s="9"/>
      <c r="G29" s="9"/>
      <c r="H29" s="276"/>
      <c r="I29" s="276"/>
      <c r="J29" s="276"/>
      <c r="K29" s="276"/>
      <c r="L29" s="276"/>
      <c r="M29" s="276"/>
      <c r="N29" s="276"/>
      <c r="O29" s="276"/>
      <c r="P29" s="276"/>
      <c r="Q29" s="276"/>
      <c r="R29" s="276"/>
      <c r="S29" s="276"/>
      <c r="T29" s="276"/>
      <c r="U29" s="276"/>
      <c r="V29" s="276"/>
      <c r="W29" s="276"/>
      <c r="X29" s="276"/>
      <c r="Y29" s="276"/>
      <c r="Z29" s="276"/>
      <c r="AA29" s="276"/>
      <c r="AB29" s="276"/>
      <c r="AC29" s="276"/>
      <c r="AD29" s="276"/>
      <c r="AE29" s="276"/>
      <c r="AF29" s="276"/>
      <c r="AG29" s="276"/>
      <c r="AH29" s="276"/>
      <c r="AI29" s="276"/>
      <c r="AJ29" s="276"/>
      <c r="AK29" s="276"/>
      <c r="AL29" s="276"/>
      <c r="AM29" s="276"/>
      <c r="AN29" s="276"/>
      <c r="AO29" s="276"/>
      <c r="AP29" s="276"/>
      <c r="AQ29" s="276"/>
      <c r="AR29" s="276"/>
      <c r="AS29" s="276"/>
    </row>
    <row r="30" spans="1:121" customFormat="1" ht="36" x14ac:dyDescent="0.2">
      <c r="A30" s="663" t="s">
        <v>149</v>
      </c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79"/>
      <c r="Y30" s="79"/>
      <c r="Z30" s="79"/>
      <c r="AA30" s="79"/>
      <c r="AB30" s="79"/>
      <c r="AC30" s="79"/>
      <c r="AD30" s="79"/>
      <c r="AE30" s="79"/>
      <c r="AF30" s="79"/>
      <c r="AG30" s="79"/>
      <c r="AH30" s="79"/>
      <c r="AI30" s="79"/>
      <c r="AJ30" s="79"/>
      <c r="AK30" s="79"/>
      <c r="AL30" s="79"/>
      <c r="AM30" s="79"/>
    </row>
    <row r="31" spans="1:121" customFormat="1" ht="30" customHeight="1" x14ac:dyDescent="0.2">
      <c r="A31" s="663" t="s">
        <v>150</v>
      </c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79"/>
      <c r="AH31" s="79"/>
      <c r="AI31" s="79"/>
      <c r="AJ31" s="79"/>
      <c r="AK31" s="79"/>
      <c r="AL31" s="79"/>
      <c r="AM31" s="79"/>
    </row>
    <row r="32" spans="1:121" customFormat="1" ht="38.1" customHeight="1" x14ac:dyDescent="0.2">
      <c r="A32" s="502" t="s">
        <v>672</v>
      </c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/>
      <c r="AF32" s="79"/>
      <c r="AG32" s="79"/>
      <c r="AH32" s="79"/>
      <c r="AI32" s="79"/>
      <c r="AJ32" s="79"/>
      <c r="AK32" s="79"/>
      <c r="AL32" s="79"/>
      <c r="AM32" s="79"/>
    </row>
    <row r="33" spans="1:39" customFormat="1" ht="27.95" customHeight="1" x14ac:dyDescent="0.2">
      <c r="A33" s="663" t="s">
        <v>663</v>
      </c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9"/>
      <c r="AG33" s="79"/>
      <c r="AH33" s="79"/>
      <c r="AI33" s="79"/>
      <c r="AJ33" s="79"/>
      <c r="AK33" s="187"/>
      <c r="AL33" s="79"/>
      <c r="AM33" s="79"/>
    </row>
    <row r="34" spans="1:39" customFormat="1" ht="27.95" customHeight="1" x14ac:dyDescent="0.2">
      <c r="A34" s="712" t="s">
        <v>664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  <c r="AC34" s="79"/>
      <c r="AD34" s="79"/>
      <c r="AE34" s="79"/>
      <c r="AF34" s="79"/>
      <c r="AG34" s="79"/>
      <c r="AH34" s="79"/>
      <c r="AI34" s="79"/>
      <c r="AJ34" s="79"/>
      <c r="AK34" s="663"/>
      <c r="AL34" s="79"/>
      <c r="AM34" s="79"/>
    </row>
    <row r="35" spans="1:39" customFormat="1" ht="15" customHeight="1" x14ac:dyDescent="0.2">
      <c r="A35" s="92"/>
    </row>
    <row r="36" spans="1:39" customFormat="1" ht="15" customHeight="1" x14ac:dyDescent="0.2">
      <c r="A36" s="92"/>
    </row>
    <row r="37" spans="1:39" customFormat="1" ht="15" customHeight="1" x14ac:dyDescent="0.2">
      <c r="A37" s="92"/>
    </row>
    <row r="38" spans="1:39" customFormat="1" ht="15" customHeight="1" x14ac:dyDescent="0.2">
      <c r="A38" s="92"/>
    </row>
    <row r="39" spans="1:39" customFormat="1" ht="15" customHeight="1" x14ac:dyDescent="0.2">
      <c r="A39" s="92"/>
    </row>
    <row r="40" spans="1:39" customFormat="1" ht="15" customHeight="1" x14ac:dyDescent="0.2">
      <c r="A40" s="92"/>
    </row>
    <row r="41" spans="1:39" customFormat="1" ht="15" customHeight="1" x14ac:dyDescent="0.2">
      <c r="A41" s="92"/>
    </row>
    <row r="42" spans="1:39" customFormat="1" ht="15" customHeight="1" x14ac:dyDescent="0.2">
      <c r="A42" s="92"/>
    </row>
    <row r="43" spans="1:39" customFormat="1" ht="15" customHeight="1" x14ac:dyDescent="0.2">
      <c r="A43" s="92"/>
    </row>
    <row r="44" spans="1:39" customFormat="1" ht="15" customHeight="1" x14ac:dyDescent="0.2">
      <c r="A44" s="92"/>
    </row>
    <row r="45" spans="1:39" customFormat="1" ht="15" customHeight="1" x14ac:dyDescent="0.2">
      <c r="A45" s="92"/>
    </row>
    <row r="46" spans="1:39" customFormat="1" ht="15" customHeight="1" x14ac:dyDescent="0.2">
      <c r="A46" s="92"/>
    </row>
    <row r="47" spans="1:39" customFormat="1" ht="15" customHeight="1" x14ac:dyDescent="0.2">
      <c r="A47" s="92"/>
    </row>
    <row r="48" spans="1:39" customFormat="1" ht="15" customHeight="1" x14ac:dyDescent="0.2">
      <c r="A48" s="92"/>
    </row>
    <row r="49" spans="1:1" customFormat="1" ht="15" customHeight="1" x14ac:dyDescent="0.2">
      <c r="A49" s="92"/>
    </row>
    <row r="50" spans="1:1" customFormat="1" ht="15" customHeight="1" x14ac:dyDescent="0.2">
      <c r="A50" s="92"/>
    </row>
    <row r="51" spans="1:1" customFormat="1" ht="15" customHeight="1" x14ac:dyDescent="0.2">
      <c r="A51" s="92"/>
    </row>
    <row r="52" spans="1:1" customFormat="1" ht="15" customHeight="1" x14ac:dyDescent="0.2">
      <c r="A52" s="92"/>
    </row>
    <row r="53" spans="1:1" customFormat="1" ht="15" customHeight="1" x14ac:dyDescent="0.2">
      <c r="A53" s="92"/>
    </row>
    <row r="54" spans="1:1" customFormat="1" ht="15" customHeight="1" x14ac:dyDescent="0.2">
      <c r="A54" s="92"/>
    </row>
    <row r="55" spans="1:1" customFormat="1" ht="15" customHeight="1" x14ac:dyDescent="0.2">
      <c r="A55" s="92"/>
    </row>
    <row r="56" spans="1:1" customFormat="1" ht="15" customHeight="1" x14ac:dyDescent="0.2">
      <c r="A56" s="92"/>
    </row>
    <row r="57" spans="1:1" customFormat="1" ht="15" customHeight="1" x14ac:dyDescent="0.2">
      <c r="A57" s="92"/>
    </row>
    <row r="58" spans="1:1" customFormat="1" ht="15" customHeight="1" x14ac:dyDescent="0.2">
      <c r="A58" s="92"/>
    </row>
    <row r="59" spans="1:1" customFormat="1" ht="15" customHeight="1" x14ac:dyDescent="0.2">
      <c r="A59" s="92"/>
    </row>
    <row r="60" spans="1:1" customFormat="1" ht="15" customHeight="1" x14ac:dyDescent="0.2">
      <c r="A60" s="92"/>
    </row>
    <row r="61" spans="1:1" customFormat="1" ht="15" customHeight="1" x14ac:dyDescent="0.2">
      <c r="A61" s="92"/>
    </row>
    <row r="62" spans="1:1" customFormat="1" ht="15" customHeight="1" x14ac:dyDescent="0.2">
      <c r="A62" s="92"/>
    </row>
    <row r="63" spans="1:1" customFormat="1" ht="15" customHeight="1" x14ac:dyDescent="0.2">
      <c r="A63" s="92"/>
    </row>
    <row r="64" spans="1:1" customFormat="1" ht="15" customHeight="1" x14ac:dyDescent="0.2">
      <c r="A64" s="92"/>
    </row>
    <row r="65" spans="1:1" customFormat="1" ht="15" customHeight="1" x14ac:dyDescent="0.2">
      <c r="A65" s="92"/>
    </row>
    <row r="66" spans="1:1" customFormat="1" ht="15" customHeight="1" x14ac:dyDescent="0.2">
      <c r="A66" s="92"/>
    </row>
    <row r="67" spans="1:1" customFormat="1" ht="15" customHeight="1" x14ac:dyDescent="0.2">
      <c r="A67" s="92"/>
    </row>
    <row r="68" spans="1:1" customFormat="1" ht="15" customHeight="1" x14ac:dyDescent="0.2">
      <c r="A68" s="92"/>
    </row>
    <row r="69" spans="1:1" customFormat="1" ht="15" customHeight="1" x14ac:dyDescent="0.2">
      <c r="A69" s="92"/>
    </row>
    <row r="70" spans="1:1" customFormat="1" ht="15" customHeight="1" x14ac:dyDescent="0.2">
      <c r="A70" s="92"/>
    </row>
    <row r="71" spans="1:1" customFormat="1" ht="15" customHeight="1" x14ac:dyDescent="0.2">
      <c r="A71" s="92"/>
    </row>
    <row r="72" spans="1:1" customFormat="1" ht="15" customHeight="1" x14ac:dyDescent="0.2">
      <c r="A72" s="92"/>
    </row>
    <row r="73" spans="1:1" customFormat="1" ht="15" customHeight="1" x14ac:dyDescent="0.2">
      <c r="A73" s="92"/>
    </row>
    <row r="74" spans="1:1" customFormat="1" ht="15" customHeight="1" x14ac:dyDescent="0.2">
      <c r="A74" s="92"/>
    </row>
    <row r="75" spans="1:1" customFormat="1" ht="15" customHeight="1" x14ac:dyDescent="0.2">
      <c r="A75" s="92"/>
    </row>
    <row r="76" spans="1:1" customFormat="1" ht="15" customHeight="1" x14ac:dyDescent="0.2">
      <c r="A76" s="92"/>
    </row>
    <row r="77" spans="1:1" customFormat="1" ht="15" customHeight="1" x14ac:dyDescent="0.2">
      <c r="A77" s="92"/>
    </row>
    <row r="78" spans="1:1" customFormat="1" ht="15" customHeight="1" x14ac:dyDescent="0.2">
      <c r="A78" s="92"/>
    </row>
    <row r="79" spans="1:1" customFormat="1" ht="15" customHeight="1" x14ac:dyDescent="0.2">
      <c r="A79" s="92"/>
    </row>
    <row r="80" spans="1:1" customFormat="1" ht="15" customHeight="1" x14ac:dyDescent="0.2">
      <c r="A80" s="92"/>
    </row>
    <row r="81" spans="1:1" customFormat="1" ht="15" customHeight="1" x14ac:dyDescent="0.2">
      <c r="A81" s="92"/>
    </row>
    <row r="82" spans="1:1" customFormat="1" ht="15" customHeight="1" x14ac:dyDescent="0.2">
      <c r="A82" s="92"/>
    </row>
    <row r="83" spans="1:1" customFormat="1" ht="15" customHeight="1" x14ac:dyDescent="0.2">
      <c r="A83" s="92"/>
    </row>
    <row r="84" spans="1:1" customFormat="1" ht="15" customHeight="1" x14ac:dyDescent="0.2">
      <c r="A84" s="92"/>
    </row>
    <row r="85" spans="1:1" customFormat="1" ht="15" customHeight="1" x14ac:dyDescent="0.2">
      <c r="A85" s="92"/>
    </row>
    <row r="86" spans="1:1" customFormat="1" ht="15" customHeight="1" x14ac:dyDescent="0.2">
      <c r="A86" s="92"/>
    </row>
    <row r="87" spans="1:1" customFormat="1" ht="15" customHeight="1" x14ac:dyDescent="0.2">
      <c r="A87" s="92"/>
    </row>
    <row r="88" spans="1:1" customFormat="1" ht="15" customHeight="1" x14ac:dyDescent="0.2">
      <c r="A88" s="92"/>
    </row>
    <row r="89" spans="1:1" customFormat="1" ht="15" customHeight="1" x14ac:dyDescent="0.2">
      <c r="A89" s="92"/>
    </row>
    <row r="90" spans="1:1" customFormat="1" ht="15" customHeight="1" x14ac:dyDescent="0.2">
      <c r="A90" s="92"/>
    </row>
    <row r="91" spans="1:1" customFormat="1" ht="15" customHeight="1" x14ac:dyDescent="0.2">
      <c r="A91" s="92"/>
    </row>
    <row r="92" spans="1:1" customFormat="1" ht="15" customHeight="1" x14ac:dyDescent="0.2">
      <c r="A92" s="92"/>
    </row>
    <row r="93" spans="1:1" customFormat="1" ht="15" customHeight="1" x14ac:dyDescent="0.2">
      <c r="A93" s="92"/>
    </row>
    <row r="94" spans="1:1" customFormat="1" ht="15" customHeight="1" x14ac:dyDescent="0.2">
      <c r="A94" s="92"/>
    </row>
    <row r="95" spans="1:1" customFormat="1" ht="15" customHeight="1" x14ac:dyDescent="0.2">
      <c r="A95" s="92"/>
    </row>
    <row r="96" spans="1:1" customFormat="1" ht="15" customHeight="1" x14ac:dyDescent="0.2">
      <c r="A96" s="92"/>
    </row>
    <row r="97" spans="1:1" customFormat="1" ht="15" customHeight="1" x14ac:dyDescent="0.2">
      <c r="A97" s="92"/>
    </row>
    <row r="98" spans="1:1" customFormat="1" ht="15" customHeight="1" x14ac:dyDescent="0.2">
      <c r="A98" s="92"/>
    </row>
    <row r="99" spans="1:1" customFormat="1" ht="15" customHeight="1" x14ac:dyDescent="0.2">
      <c r="A99" s="92"/>
    </row>
    <row r="100" spans="1:1" customFormat="1" ht="15" customHeight="1" x14ac:dyDescent="0.2">
      <c r="A100" s="92"/>
    </row>
    <row r="101" spans="1:1" customFormat="1" ht="15" customHeight="1" x14ac:dyDescent="0.2">
      <c r="A101" s="92"/>
    </row>
    <row r="102" spans="1:1" customFormat="1" ht="15" customHeight="1" x14ac:dyDescent="0.2">
      <c r="A102" s="92"/>
    </row>
    <row r="103" spans="1:1" customFormat="1" ht="15" customHeight="1" x14ac:dyDescent="0.2">
      <c r="A103" s="92"/>
    </row>
    <row r="104" spans="1:1" customFormat="1" ht="15" customHeight="1" x14ac:dyDescent="0.2">
      <c r="A104" s="92"/>
    </row>
    <row r="105" spans="1:1" customFormat="1" ht="15" customHeight="1" x14ac:dyDescent="0.2">
      <c r="A105" s="92"/>
    </row>
    <row r="106" spans="1:1" customFormat="1" ht="15" customHeight="1" x14ac:dyDescent="0.2">
      <c r="A106" s="92"/>
    </row>
    <row r="107" spans="1:1" customFormat="1" ht="15" customHeight="1" x14ac:dyDescent="0.2">
      <c r="A107" s="92"/>
    </row>
    <row r="108" spans="1:1" customFormat="1" ht="15" customHeight="1" x14ac:dyDescent="0.2">
      <c r="A108" s="92"/>
    </row>
    <row r="109" spans="1:1" customFormat="1" ht="15" customHeight="1" x14ac:dyDescent="0.2">
      <c r="A109" s="92"/>
    </row>
    <row r="110" spans="1:1" customFormat="1" ht="15" customHeight="1" x14ac:dyDescent="0.2">
      <c r="A110" s="92"/>
    </row>
    <row r="111" spans="1:1" customFormat="1" ht="15" customHeight="1" x14ac:dyDescent="0.2">
      <c r="A111" s="92"/>
    </row>
    <row r="112" spans="1:1" customFormat="1" ht="15" customHeight="1" x14ac:dyDescent="0.2">
      <c r="A112" s="92"/>
    </row>
    <row r="113" spans="1:1" customFormat="1" ht="15" customHeight="1" x14ac:dyDescent="0.2">
      <c r="A113" s="92"/>
    </row>
    <row r="114" spans="1:1" customFormat="1" ht="15" customHeight="1" x14ac:dyDescent="0.2">
      <c r="A114" s="92"/>
    </row>
    <row r="115" spans="1:1" customFormat="1" ht="15" customHeight="1" x14ac:dyDescent="0.2">
      <c r="A115" s="92"/>
    </row>
    <row r="116" spans="1:1" customFormat="1" ht="15" customHeight="1" x14ac:dyDescent="0.2">
      <c r="A116" s="92"/>
    </row>
    <row r="117" spans="1:1" customFormat="1" ht="15" customHeight="1" x14ac:dyDescent="0.2">
      <c r="A117" s="92"/>
    </row>
    <row r="118" spans="1:1" customFormat="1" ht="15" customHeight="1" x14ac:dyDescent="0.2">
      <c r="A118" s="92"/>
    </row>
    <row r="119" spans="1:1" customFormat="1" ht="15" customHeight="1" x14ac:dyDescent="0.2">
      <c r="A119" s="92"/>
    </row>
    <row r="120" spans="1:1" customFormat="1" ht="15" customHeight="1" x14ac:dyDescent="0.2">
      <c r="A120" s="92"/>
    </row>
    <row r="121" spans="1:1" customFormat="1" ht="15" customHeight="1" x14ac:dyDescent="0.2">
      <c r="A121" s="92"/>
    </row>
  </sheetData>
  <customSheetViews>
    <customSheetView guid="{B7440494-8EA9-4463-9947-E5D20E74049D}" showGridLines="0">
      <pane xSplit="1" ySplit="10" topLeftCell="AF11" activePane="bottomRight" state="frozen"/>
      <selection pane="bottomRight" activeCell="A26" sqref="A26"/>
      <colBreaks count="4" manualBreakCount="4">
        <brk id="9" min="2" max="33" man="1"/>
        <brk id="17" min="2" max="33" man="1"/>
        <brk id="25" min="2" max="33" man="1"/>
        <brk id="33" min="2" max="33" man="1"/>
      </colBreaks>
      <pageMargins left="0" right="0" top="0.78740157480314965" bottom="0" header="0" footer="0"/>
      <printOptions horizontalCentered="1"/>
      <pageSetup paperSize="9" scale="85" fitToWidth="4" orientation="landscape" horizontalDpi="1200" verticalDpi="1200" r:id="rId1"/>
      <headerFooter alignWithMargins="0">
        <oddHeader>&amp;R&amp;P/&amp;N</oddHeader>
      </headerFooter>
    </customSheetView>
    <customSheetView guid="{6D89F6EF-F5AD-478F-979A-5AF1BC78EF91}" showGridLines="0">
      <pane xSplit="2" ySplit="9" topLeftCell="C10" activePane="bottomRight" state="frozen"/>
      <selection pane="bottomRight" activeCell="C10" sqref="C10"/>
      <colBreaks count="3" manualBreakCount="3">
        <brk id="10" max="28" man="1"/>
        <brk id="25" max="28" man="1"/>
        <brk id="42" max="28" man="1"/>
      </colBreaks>
      <pageMargins left="0" right="0" top="0.55118110236220474" bottom="0" header="0" footer="0"/>
      <printOptions horizontalCentered="1" verticalCentered="1"/>
      <pageSetup paperSize="9" orientation="landscape" horizontalDpi="1200" verticalDpi="1200" r:id="rId2"/>
      <headerFooter alignWithMargins="0"/>
    </customSheetView>
    <customSheetView guid="{A9134056-6B1C-4A42-AFE9-9712EF3EF3D4}" showPageBreaks="1" showGridLines="0" printArea="1">
      <pane xSplit="2" ySplit="9" topLeftCell="C10" activePane="bottomRight" state="frozen"/>
      <selection pane="bottomRight" activeCell="C10" sqref="C10"/>
      <colBreaks count="5" manualBreakCount="5">
        <brk id="7" min="1" max="31" man="1"/>
        <brk id="10" max="28" man="1"/>
        <brk id="16" min="1" max="31" man="1"/>
        <brk id="25" max="28" man="1"/>
        <brk id="42" max="28" man="1"/>
      </colBreaks>
      <pageMargins left="0" right="0" top="0.55118110236220474" bottom="0" header="0" footer="0"/>
      <printOptions horizontalCentered="1" verticalCentered="1"/>
      <pageSetup paperSize="9" orientation="landscape" horizontalDpi="1200" verticalDpi="1200" r:id="rId3"/>
      <headerFooter alignWithMargins="0"/>
    </customSheetView>
  </customSheetViews>
  <hyperlinks>
    <hyperlink ref="AS6" location="Índex!E9" display="Índex"/>
  </hyperlinks>
  <printOptions horizontalCentered="1"/>
  <pageMargins left="0" right="0" top="0.39370078740157483" bottom="0" header="0" footer="0"/>
  <pageSetup paperSize="9" scale="70" fitToHeight="5" orientation="landscape" horizontalDpi="1200" verticalDpi="1200" r:id="rId4"/>
  <headerFooter alignWithMargins="0">
    <oddHeader>&amp;R&amp;P/&amp;N</oddHeader>
  </headerFooter>
  <colBreaks count="5" manualBreakCount="5">
    <brk id="8" min="1" max="33" man="1"/>
    <brk id="17" min="1" max="33" man="1"/>
    <brk id="25" min="1" max="33" man="1"/>
    <brk id="33" min="1" max="33" man="1"/>
    <brk id="41" min="1" max="33" man="1"/>
  </colBreaks>
  <drawing r:id="rId5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33"/>
  <dimension ref="A1:DQ123"/>
  <sheetViews>
    <sheetView showGridLines="0" zoomScaleNormal="100" workbookViewId="0">
      <pane xSplit="1" ySplit="8" topLeftCell="AL9" activePane="bottomRight" state="frozen"/>
      <selection activeCell="E9" sqref="E9"/>
      <selection pane="topRight" activeCell="E9" sqref="E9"/>
      <selection pane="bottomLeft" activeCell="E9" sqref="E9"/>
      <selection pane="bottomRight" activeCell="E9" sqref="E9"/>
    </sheetView>
  </sheetViews>
  <sheetFormatPr defaultColWidth="10.28515625" defaultRowHeight="15" customHeight="1" x14ac:dyDescent="0.2"/>
  <cols>
    <col min="1" max="1" width="82.5703125" style="1" bestFit="1" customWidth="1"/>
    <col min="2" max="29" width="10.7109375" style="1" customWidth="1"/>
    <col min="30" max="31" width="10.7109375" style="8" customWidth="1"/>
    <col min="32" max="45" width="10.7109375" style="1" customWidth="1"/>
    <col min="46" max="16384" width="10.28515625" style="1"/>
  </cols>
  <sheetData>
    <row r="1" spans="1:121" s="25" customFormat="1" ht="15" customHeight="1" x14ac:dyDescent="0.2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2"/>
      <c r="AW1" s="62"/>
      <c r="AX1" s="62"/>
      <c r="AY1" s="62"/>
      <c r="AZ1" s="62"/>
      <c r="BA1" s="62"/>
      <c r="BB1" s="62"/>
      <c r="BC1" s="62"/>
      <c r="BD1" s="62"/>
      <c r="BE1" s="62"/>
      <c r="BF1" s="62"/>
      <c r="BG1" s="62"/>
      <c r="BH1" s="62"/>
      <c r="BI1" s="62"/>
      <c r="BJ1" s="56"/>
      <c r="BK1" s="56"/>
      <c r="BL1" s="56"/>
      <c r="BM1" s="56"/>
      <c r="BN1" s="56"/>
      <c r="BO1" s="56"/>
      <c r="BP1" s="56"/>
      <c r="BQ1" s="56"/>
      <c r="BR1" s="56"/>
      <c r="BS1" s="56"/>
      <c r="BT1" s="56"/>
      <c r="BU1" s="56"/>
    </row>
    <row r="2" spans="1:121" s="25" customFormat="1" ht="15" customHeight="1" x14ac:dyDescent="0.25">
      <c r="A2" s="56"/>
      <c r="B2" s="199"/>
      <c r="C2" s="56"/>
      <c r="D2" s="56"/>
      <c r="E2" s="216"/>
      <c r="F2" s="216"/>
      <c r="G2" s="216"/>
      <c r="H2" s="56"/>
      <c r="I2" s="56"/>
      <c r="J2" s="56"/>
      <c r="K2" s="21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  <c r="BM2" s="56"/>
      <c r="BN2" s="56"/>
      <c r="BO2" s="56"/>
      <c r="BP2" s="56"/>
      <c r="BQ2" s="56"/>
      <c r="BR2" s="56"/>
      <c r="BS2" s="56"/>
      <c r="BT2" s="56"/>
      <c r="BU2" s="56"/>
    </row>
    <row r="3" spans="1:121" s="25" customFormat="1" ht="15" customHeight="1" x14ac:dyDescent="0.25">
      <c r="A3" s="57"/>
      <c r="B3" s="57"/>
      <c r="C3" s="61"/>
      <c r="D3" s="57"/>
      <c r="E3" s="217"/>
      <c r="F3" s="217"/>
      <c r="G3" s="217"/>
      <c r="H3" s="57"/>
      <c r="I3" s="57"/>
      <c r="J3" s="57"/>
      <c r="K3" s="21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7"/>
      <c r="BT3" s="57"/>
      <c r="BU3" s="57"/>
    </row>
    <row r="4" spans="1:121" s="25" customFormat="1" ht="15" customHeight="1" x14ac:dyDescent="0.2">
      <c r="A4" s="58"/>
      <c r="B4" s="58"/>
      <c r="C4" s="58"/>
      <c r="D4" s="58"/>
      <c r="E4" s="218"/>
      <c r="F4" s="218"/>
      <c r="G4" s="218"/>
      <c r="H4" s="58"/>
      <c r="I4" s="58"/>
      <c r="J4" s="58"/>
      <c r="K4" s="21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  <c r="CG4" s="198"/>
      <c r="CH4" s="198"/>
      <c r="CI4" s="198"/>
      <c r="CJ4" s="198"/>
      <c r="CK4" s="198"/>
      <c r="CL4" s="198"/>
      <c r="CM4" s="198"/>
      <c r="CN4" s="198"/>
      <c r="CO4" s="198"/>
    </row>
    <row r="5" spans="1:121" s="25" customFormat="1" ht="15" customHeight="1" thickBot="1" x14ac:dyDescent="0.35">
      <c r="A5" s="190" t="s">
        <v>567</v>
      </c>
      <c r="B5" s="61"/>
      <c r="C5" s="59"/>
      <c r="D5" s="61"/>
      <c r="E5" s="59"/>
      <c r="F5" s="114"/>
      <c r="G5" s="59"/>
      <c r="H5" s="112"/>
      <c r="I5" s="59"/>
      <c r="J5" s="59"/>
      <c r="K5" s="59"/>
      <c r="L5" s="59"/>
      <c r="M5" s="59"/>
      <c r="N5" s="59"/>
      <c r="O5" s="59"/>
      <c r="P5" s="59"/>
      <c r="Q5" s="59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59"/>
      <c r="BR5" s="59"/>
      <c r="BS5" s="59"/>
      <c r="BT5" s="59"/>
      <c r="BU5" s="59"/>
      <c r="BW5" s="114"/>
      <c r="CA5" s="114"/>
      <c r="CC5" s="134"/>
      <c r="CF5" s="65"/>
      <c r="CG5" s="194"/>
      <c r="CH5" s="194"/>
      <c r="CI5" s="194"/>
      <c r="CJ5" s="225"/>
      <c r="CK5" s="194"/>
      <c r="CL5" s="194"/>
      <c r="CM5" s="194"/>
      <c r="CN5" s="194"/>
      <c r="CO5" s="198"/>
    </row>
    <row r="6" spans="1:121" s="236" customFormat="1" ht="15" customHeight="1" thickTop="1" x14ac:dyDescent="0.2">
      <c r="A6" s="234"/>
      <c r="B6" s="234"/>
      <c r="C6" s="235"/>
      <c r="D6" s="235"/>
      <c r="E6" s="235"/>
      <c r="AL6" s="133"/>
      <c r="AN6" s="133"/>
      <c r="AO6" s="133"/>
      <c r="AP6" s="400"/>
      <c r="AQ6" s="400"/>
      <c r="AR6" s="400"/>
      <c r="AS6" s="400" t="s">
        <v>662</v>
      </c>
    </row>
    <row r="7" spans="1:121" s="183" customFormat="1" ht="15" customHeight="1" x14ac:dyDescent="0.2">
      <c r="A7" s="182"/>
      <c r="B7" s="664" t="s">
        <v>401</v>
      </c>
      <c r="C7" s="664" t="s">
        <v>402</v>
      </c>
      <c r="D7" s="664" t="s">
        <v>403</v>
      </c>
      <c r="E7" s="664" t="s">
        <v>404</v>
      </c>
      <c r="F7" s="664" t="s">
        <v>405</v>
      </c>
      <c r="G7" s="664" t="s">
        <v>406</v>
      </c>
      <c r="H7" s="664" t="s">
        <v>407</v>
      </c>
      <c r="I7" s="664" t="s">
        <v>408</v>
      </c>
      <c r="J7" s="664" t="s">
        <v>409</v>
      </c>
      <c r="K7" s="664" t="s">
        <v>410</v>
      </c>
      <c r="L7" s="664" t="s">
        <v>411</v>
      </c>
      <c r="M7" s="664" t="s">
        <v>412</v>
      </c>
      <c r="N7" s="664" t="s">
        <v>413</v>
      </c>
      <c r="O7" s="664" t="s">
        <v>414</v>
      </c>
      <c r="P7" s="664" t="s">
        <v>415</v>
      </c>
      <c r="Q7" s="664" t="s">
        <v>416</v>
      </c>
      <c r="R7" s="664" t="s">
        <v>417</v>
      </c>
      <c r="S7" s="664" t="s">
        <v>418</v>
      </c>
      <c r="T7" s="664" t="s">
        <v>419</v>
      </c>
      <c r="U7" s="664" t="s">
        <v>420</v>
      </c>
      <c r="V7" s="664" t="s">
        <v>421</v>
      </c>
      <c r="W7" s="664" t="s">
        <v>422</v>
      </c>
      <c r="X7" s="664" t="s">
        <v>423</v>
      </c>
      <c r="Y7" s="664" t="s">
        <v>424</v>
      </c>
      <c r="Z7" s="664" t="s">
        <v>425</v>
      </c>
      <c r="AA7" s="664" t="s">
        <v>426</v>
      </c>
      <c r="AB7" s="664" t="s">
        <v>427</v>
      </c>
      <c r="AC7" s="664" t="s">
        <v>428</v>
      </c>
      <c r="AD7" s="664" t="s">
        <v>429</v>
      </c>
      <c r="AE7" s="664" t="s">
        <v>430</v>
      </c>
      <c r="AF7" s="664" t="s">
        <v>431</v>
      </c>
      <c r="AG7" s="664" t="s">
        <v>432</v>
      </c>
      <c r="AH7" s="664" t="s">
        <v>433</v>
      </c>
      <c r="AI7" s="664" t="s">
        <v>434</v>
      </c>
      <c r="AJ7" s="664" t="s">
        <v>543</v>
      </c>
      <c r="AK7" s="664" t="s">
        <v>435</v>
      </c>
      <c r="AL7" s="664" t="s">
        <v>436</v>
      </c>
      <c r="AM7" s="664" t="s">
        <v>437</v>
      </c>
      <c r="AN7" s="664" t="s">
        <v>438</v>
      </c>
      <c r="AO7" s="664" t="s">
        <v>450</v>
      </c>
      <c r="AP7" s="664" t="s">
        <v>451</v>
      </c>
      <c r="AQ7" s="664" t="s">
        <v>452</v>
      </c>
      <c r="AR7" s="664" t="s">
        <v>453</v>
      </c>
      <c r="AS7" s="664" t="s">
        <v>454</v>
      </c>
      <c r="CC7" s="243"/>
    </row>
    <row r="8" spans="1:121" s="178" customFormat="1" ht="9.9499999999999993" customHeight="1" x14ac:dyDescent="0.2">
      <c r="A8" s="233"/>
      <c r="B8" s="233"/>
      <c r="C8" s="233"/>
      <c r="D8" s="233"/>
      <c r="E8" s="233"/>
      <c r="F8" s="233"/>
      <c r="G8" s="233"/>
      <c r="H8" s="233"/>
      <c r="I8" s="233"/>
      <c r="J8" s="233"/>
      <c r="K8" s="233"/>
      <c r="L8" s="233"/>
      <c r="M8" s="233"/>
      <c r="N8" s="233"/>
      <c r="O8" s="233"/>
      <c r="P8" s="233"/>
      <c r="Q8" s="233"/>
      <c r="R8" s="233"/>
      <c r="S8" s="233"/>
      <c r="T8" s="233"/>
      <c r="U8" s="233"/>
      <c r="V8" s="233"/>
      <c r="W8" s="233"/>
      <c r="X8" s="233"/>
      <c r="Y8" s="233"/>
      <c r="Z8" s="233"/>
      <c r="AA8" s="233"/>
      <c r="AB8" s="233"/>
      <c r="AC8" s="233"/>
      <c r="AD8" s="233"/>
      <c r="AE8" s="233"/>
      <c r="AF8" s="233"/>
      <c r="AG8" s="233"/>
      <c r="AH8" s="233"/>
      <c r="AI8" s="233"/>
      <c r="AJ8" s="233"/>
      <c r="AK8" s="233"/>
      <c r="AL8" s="233"/>
      <c r="AM8" s="233"/>
      <c r="AN8" s="233"/>
      <c r="AO8" s="233"/>
      <c r="AP8" s="233"/>
      <c r="AQ8" s="233"/>
      <c r="AR8" s="233"/>
      <c r="AS8" s="233"/>
      <c r="AT8" s="191"/>
      <c r="AU8" s="191"/>
      <c r="AV8" s="191"/>
      <c r="AW8" s="191"/>
      <c r="AX8" s="191"/>
      <c r="AY8" s="191"/>
      <c r="AZ8" s="191"/>
      <c r="BA8" s="191"/>
      <c r="BB8" s="191"/>
      <c r="BC8" s="191"/>
      <c r="BD8" s="191"/>
      <c r="BE8" s="191"/>
      <c r="BF8" s="191"/>
      <c r="BG8" s="191"/>
      <c r="BH8" s="191"/>
      <c r="BI8" s="191"/>
      <c r="BJ8" s="191"/>
      <c r="BK8" s="191"/>
      <c r="BL8" s="191"/>
      <c r="BM8" s="191"/>
      <c r="BN8" s="191"/>
      <c r="BO8" s="191"/>
      <c r="BP8" s="191"/>
      <c r="BQ8" s="191"/>
      <c r="BR8" s="191"/>
      <c r="BS8" s="191"/>
      <c r="BT8" s="191"/>
      <c r="BU8" s="191"/>
      <c r="BV8" s="191"/>
      <c r="BW8" s="191"/>
      <c r="BX8" s="191"/>
      <c r="BY8" s="191"/>
      <c r="BZ8" s="191"/>
      <c r="CA8" s="191"/>
      <c r="CB8" s="191"/>
      <c r="CC8" s="191"/>
      <c r="CD8" s="191"/>
    </row>
    <row r="9" spans="1:121" s="178" customFormat="1" ht="5.0999999999999996" customHeight="1" x14ac:dyDescent="0.2">
      <c r="A9" s="248"/>
      <c r="B9" s="203"/>
      <c r="C9" s="203"/>
      <c r="D9" s="203"/>
      <c r="E9" s="203"/>
      <c r="F9" s="203"/>
      <c r="G9" s="203"/>
      <c r="H9" s="203"/>
      <c r="I9" s="203"/>
      <c r="J9" s="203"/>
      <c r="K9" s="203"/>
      <c r="L9" s="203"/>
      <c r="M9" s="203"/>
      <c r="N9" s="203"/>
      <c r="O9" s="203"/>
      <c r="P9" s="203"/>
      <c r="Q9" s="203"/>
      <c r="R9" s="203"/>
      <c r="S9" s="203"/>
      <c r="T9" s="203"/>
      <c r="U9" s="203"/>
      <c r="V9" s="203"/>
      <c r="W9" s="203"/>
      <c r="X9" s="203"/>
      <c r="Y9" s="203"/>
      <c r="Z9" s="203"/>
      <c r="AA9" s="203"/>
      <c r="AB9" s="203"/>
      <c r="AC9" s="203"/>
      <c r="AD9" s="203"/>
      <c r="AE9" s="203"/>
      <c r="AF9" s="203"/>
      <c r="AG9" s="203"/>
      <c r="AH9" s="203"/>
      <c r="AI9" s="203"/>
      <c r="AJ9" s="203"/>
      <c r="AK9" s="203"/>
      <c r="AL9" s="203"/>
      <c r="AM9" s="203"/>
      <c r="AN9" s="203"/>
      <c r="AO9" s="203"/>
      <c r="AP9" s="203"/>
      <c r="AQ9" s="203"/>
      <c r="AR9" s="203"/>
      <c r="AS9" s="203"/>
      <c r="AT9" s="203"/>
      <c r="AU9" s="203"/>
      <c r="AV9" s="203"/>
      <c r="AW9" s="203"/>
      <c r="AX9" s="203"/>
      <c r="AY9" s="203"/>
      <c r="AZ9" s="203"/>
      <c r="BA9" s="203"/>
      <c r="BB9" s="203"/>
      <c r="BC9" s="203"/>
      <c r="BD9" s="203"/>
      <c r="BE9" s="203"/>
      <c r="BF9" s="203"/>
      <c r="BG9" s="203"/>
      <c r="BH9" s="203"/>
      <c r="BI9" s="203"/>
      <c r="BJ9" s="203"/>
      <c r="BK9" s="203"/>
      <c r="BL9" s="203"/>
      <c r="BM9" s="203"/>
      <c r="BN9" s="203"/>
      <c r="BO9" s="203"/>
      <c r="BP9" s="203"/>
      <c r="BQ9" s="203"/>
      <c r="BR9" s="203"/>
      <c r="BS9" s="203"/>
      <c r="BT9" s="203"/>
      <c r="BU9" s="203"/>
      <c r="BV9" s="203"/>
      <c r="BW9" s="203"/>
      <c r="BX9" s="203"/>
      <c r="BY9" s="203"/>
      <c r="BZ9" s="203"/>
      <c r="CA9" s="203"/>
      <c r="CB9" s="203"/>
      <c r="CC9" s="203"/>
      <c r="CD9" s="203"/>
    </row>
    <row r="10" spans="1:121" s="228" customFormat="1" ht="15" customHeight="1" x14ac:dyDescent="0.2">
      <c r="A10" s="226" t="s">
        <v>193</v>
      </c>
      <c r="B10" s="277">
        <v>6107</v>
      </c>
      <c r="C10" s="277">
        <v>6313</v>
      </c>
      <c r="D10" s="277">
        <v>6390</v>
      </c>
      <c r="E10" s="277">
        <v>6774</v>
      </c>
      <c r="F10" s="277">
        <v>7062</v>
      </c>
      <c r="G10" s="277">
        <v>7136</v>
      </c>
      <c r="H10" s="277">
        <v>7333</v>
      </c>
      <c r="I10" s="277">
        <v>7390</v>
      </c>
      <c r="J10" s="254">
        <v>7448</v>
      </c>
      <c r="K10" s="254">
        <v>7581</v>
      </c>
      <c r="L10" s="254">
        <v>7818</v>
      </c>
      <c r="M10" s="254">
        <v>7967</v>
      </c>
      <c r="N10" s="254">
        <v>8235</v>
      </c>
      <c r="O10" s="254">
        <v>8565</v>
      </c>
      <c r="P10" s="254">
        <v>8850</v>
      </c>
      <c r="Q10" s="254">
        <v>9302</v>
      </c>
      <c r="R10" s="254">
        <v>9618</v>
      </c>
      <c r="S10" s="254">
        <v>9985</v>
      </c>
      <c r="T10" s="254">
        <v>10454</v>
      </c>
      <c r="U10" s="254">
        <v>11061</v>
      </c>
      <c r="V10" s="254">
        <v>11503</v>
      </c>
      <c r="W10" s="254">
        <v>11945</v>
      </c>
      <c r="X10" s="254">
        <v>12184</v>
      </c>
      <c r="Y10" s="254">
        <v>12186</v>
      </c>
      <c r="Z10" s="254">
        <v>12367</v>
      </c>
      <c r="AA10" s="254">
        <v>12511</v>
      </c>
      <c r="AB10" s="254">
        <v>12738</v>
      </c>
      <c r="AC10" s="254">
        <v>13061</v>
      </c>
      <c r="AD10" s="254">
        <v>13281</v>
      </c>
      <c r="AE10" s="254">
        <v>13538</v>
      </c>
      <c r="AF10" s="254">
        <v>13756</v>
      </c>
      <c r="AG10" s="254">
        <v>13967</v>
      </c>
      <c r="AH10" s="254">
        <v>14133</v>
      </c>
      <c r="AI10" s="254">
        <v>14303</v>
      </c>
      <c r="AJ10" s="254">
        <v>14536</v>
      </c>
      <c r="AK10" s="254">
        <v>14699</v>
      </c>
      <c r="AL10" s="254">
        <v>15008</v>
      </c>
      <c r="AM10" s="254">
        <v>15272</v>
      </c>
      <c r="AN10" s="254">
        <v>16405</v>
      </c>
      <c r="AO10" s="254">
        <v>17637</v>
      </c>
      <c r="AP10" s="254">
        <v>18705</v>
      </c>
      <c r="AQ10" s="254">
        <v>19790</v>
      </c>
      <c r="AR10" s="254">
        <v>19693</v>
      </c>
      <c r="AS10" s="259">
        <v>19500</v>
      </c>
    </row>
    <row r="11" spans="1:121" s="228" customFormat="1" ht="15" customHeight="1" x14ac:dyDescent="0.2">
      <c r="A11" s="226" t="s">
        <v>568</v>
      </c>
      <c r="B11" s="277">
        <v>-438</v>
      </c>
      <c r="C11" s="277">
        <v>-482</v>
      </c>
      <c r="D11" s="277">
        <v>-442</v>
      </c>
      <c r="E11" s="277">
        <v>-521</v>
      </c>
      <c r="F11" s="277">
        <v>-554</v>
      </c>
      <c r="G11" s="277">
        <v>-554</v>
      </c>
      <c r="H11" s="277">
        <v>-577</v>
      </c>
      <c r="I11" s="277">
        <v>-542</v>
      </c>
      <c r="J11" s="254">
        <v>-505</v>
      </c>
      <c r="K11" s="254">
        <v>-501</v>
      </c>
      <c r="L11" s="254">
        <v>-581</v>
      </c>
      <c r="M11" s="254">
        <v>-647</v>
      </c>
      <c r="N11" s="254">
        <v>-732</v>
      </c>
      <c r="O11" s="254">
        <v>-799</v>
      </c>
      <c r="P11" s="254">
        <v>-785</v>
      </c>
      <c r="Q11" s="254">
        <v>-809</v>
      </c>
      <c r="R11" s="254">
        <v>-822</v>
      </c>
      <c r="S11" s="254">
        <v>-836</v>
      </c>
      <c r="T11" s="254">
        <v>-865</v>
      </c>
      <c r="U11" s="254">
        <v>-937</v>
      </c>
      <c r="V11" s="254">
        <v>-984</v>
      </c>
      <c r="W11" s="254">
        <v>-1037</v>
      </c>
      <c r="X11" s="254">
        <v>-1060</v>
      </c>
      <c r="Y11" s="254">
        <v>-1031</v>
      </c>
      <c r="Z11" s="254">
        <v>-1024</v>
      </c>
      <c r="AA11" s="254">
        <v>-1021</v>
      </c>
      <c r="AB11" s="254">
        <v>-1041</v>
      </c>
      <c r="AC11" s="254">
        <v>-1114</v>
      </c>
      <c r="AD11" s="254">
        <v>-1148</v>
      </c>
      <c r="AE11" s="254">
        <v>-1214</v>
      </c>
      <c r="AF11" s="254">
        <v>-1266</v>
      </c>
      <c r="AG11" s="254">
        <v>-1257</v>
      </c>
      <c r="AH11" s="254">
        <v>-1297</v>
      </c>
      <c r="AI11" s="254">
        <v>-1300</v>
      </c>
      <c r="AJ11" s="254">
        <v>-1313</v>
      </c>
      <c r="AK11" s="254">
        <v>-1341</v>
      </c>
      <c r="AL11" s="254">
        <v>-1368</v>
      </c>
      <c r="AM11" s="254">
        <v>-1397</v>
      </c>
      <c r="AN11" s="254">
        <v>-1426</v>
      </c>
      <c r="AO11" s="254">
        <v>-1493</v>
      </c>
      <c r="AP11" s="254">
        <v>-1518</v>
      </c>
      <c r="AQ11" s="254">
        <v>-1550</v>
      </c>
      <c r="AR11" s="254">
        <v>-1462</v>
      </c>
      <c r="AS11" s="259">
        <v>-1447</v>
      </c>
    </row>
    <row r="12" spans="1:121" s="228" customFormat="1" ht="15" customHeight="1" x14ac:dyDescent="0.2">
      <c r="A12" s="226" t="s">
        <v>194</v>
      </c>
      <c r="B12" s="277">
        <v>6306</v>
      </c>
      <c r="C12" s="277">
        <v>6588</v>
      </c>
      <c r="D12" s="277">
        <v>6837</v>
      </c>
      <c r="E12" s="277">
        <v>7121</v>
      </c>
      <c r="F12" s="277">
        <v>7396</v>
      </c>
      <c r="G12" s="277">
        <v>7710</v>
      </c>
      <c r="H12" s="277">
        <v>8048</v>
      </c>
      <c r="I12" s="277">
        <v>8307</v>
      </c>
      <c r="J12" s="254">
        <v>8585</v>
      </c>
      <c r="K12" s="254">
        <v>8816</v>
      </c>
      <c r="L12" s="254">
        <v>9045</v>
      </c>
      <c r="M12" s="254">
        <v>9493</v>
      </c>
      <c r="N12" s="254">
        <v>9985</v>
      </c>
      <c r="O12" s="254">
        <v>10490</v>
      </c>
      <c r="P12" s="254">
        <v>11021</v>
      </c>
      <c r="Q12" s="254">
        <v>11532</v>
      </c>
      <c r="R12" s="254">
        <v>12025</v>
      </c>
      <c r="S12" s="254">
        <v>12466</v>
      </c>
      <c r="T12" s="254">
        <v>12981</v>
      </c>
      <c r="U12" s="254">
        <v>13406</v>
      </c>
      <c r="V12" s="254">
        <v>13667</v>
      </c>
      <c r="W12" s="254">
        <v>13929</v>
      </c>
      <c r="X12" s="254">
        <v>14089</v>
      </c>
      <c r="Y12" s="254">
        <v>14162</v>
      </c>
      <c r="Z12" s="254">
        <v>14216</v>
      </c>
      <c r="AA12" s="254">
        <v>14353</v>
      </c>
      <c r="AB12" s="254">
        <v>14419</v>
      </c>
      <c r="AC12" s="254">
        <v>14512</v>
      </c>
      <c r="AD12" s="254">
        <v>14543</v>
      </c>
      <c r="AE12" s="254">
        <v>14540</v>
      </c>
      <c r="AF12" s="254">
        <v>14537</v>
      </c>
      <c r="AG12" s="254">
        <v>14848</v>
      </c>
      <c r="AH12" s="254">
        <v>15001</v>
      </c>
      <c r="AI12" s="254">
        <v>15352</v>
      </c>
      <c r="AJ12" s="254">
        <v>15924</v>
      </c>
      <c r="AK12" s="254">
        <v>16339</v>
      </c>
      <c r="AL12" s="254">
        <v>16816</v>
      </c>
      <c r="AM12" s="254">
        <v>17160</v>
      </c>
      <c r="AN12" s="254">
        <v>18297</v>
      </c>
      <c r="AO12" s="254">
        <v>19134</v>
      </c>
      <c r="AP12" s="254">
        <v>19872</v>
      </c>
      <c r="AQ12" s="254">
        <v>20500</v>
      </c>
      <c r="AR12" s="254">
        <v>20193</v>
      </c>
      <c r="AS12" s="259">
        <v>20122</v>
      </c>
    </row>
    <row r="13" spans="1:121" s="228" customFormat="1" ht="5.0999999999999996" customHeight="1" x14ac:dyDescent="0.2">
      <c r="A13" s="226"/>
      <c r="B13" s="277"/>
      <c r="C13" s="277"/>
      <c r="D13" s="277"/>
      <c r="E13" s="277"/>
      <c r="F13" s="277"/>
      <c r="G13" s="277"/>
      <c r="H13" s="277"/>
      <c r="I13" s="277"/>
      <c r="J13" s="254"/>
      <c r="K13" s="254"/>
      <c r="L13" s="254"/>
      <c r="M13" s="254"/>
      <c r="N13" s="254"/>
      <c r="O13" s="254"/>
      <c r="P13" s="254"/>
      <c r="Q13" s="254"/>
      <c r="R13" s="254"/>
      <c r="S13" s="254"/>
      <c r="T13" s="254"/>
      <c r="U13" s="254"/>
      <c r="V13" s="254"/>
      <c r="W13" s="254"/>
      <c r="X13" s="254"/>
      <c r="Y13" s="254"/>
      <c r="Z13" s="254"/>
      <c r="AA13" s="254"/>
      <c r="AB13" s="254"/>
      <c r="AC13" s="254"/>
      <c r="AD13" s="254"/>
      <c r="AE13" s="254"/>
      <c r="AF13" s="254"/>
      <c r="AG13" s="254"/>
      <c r="AH13" s="254"/>
      <c r="AI13" s="254"/>
      <c r="AJ13" s="254"/>
      <c r="AK13" s="254"/>
      <c r="AL13" s="254"/>
      <c r="AM13" s="254"/>
      <c r="AN13" s="254"/>
      <c r="AO13" s="254"/>
      <c r="AP13" s="254"/>
      <c r="AQ13" s="254"/>
      <c r="AR13" s="254"/>
      <c r="AS13" s="254"/>
    </row>
    <row r="14" spans="1:121" s="389" customFormat="1" ht="15" customHeight="1" thickBot="1" x14ac:dyDescent="0.25">
      <c r="A14" s="387" t="s">
        <v>5</v>
      </c>
      <c r="B14" s="386">
        <f t="shared" ref="B14:AL14" si="0">SUM(B10:B12)</f>
        <v>11975</v>
      </c>
      <c r="C14" s="386">
        <f t="shared" si="0"/>
        <v>12419</v>
      </c>
      <c r="D14" s="386">
        <f t="shared" si="0"/>
        <v>12785</v>
      </c>
      <c r="E14" s="386">
        <f t="shared" si="0"/>
        <v>13374</v>
      </c>
      <c r="F14" s="386">
        <f t="shared" si="0"/>
        <v>13904</v>
      </c>
      <c r="G14" s="386">
        <f t="shared" si="0"/>
        <v>14292</v>
      </c>
      <c r="H14" s="386">
        <f t="shared" si="0"/>
        <v>14804</v>
      </c>
      <c r="I14" s="386">
        <f t="shared" si="0"/>
        <v>15155</v>
      </c>
      <c r="J14" s="386">
        <f t="shared" si="0"/>
        <v>15528</v>
      </c>
      <c r="K14" s="386">
        <f t="shared" si="0"/>
        <v>15896</v>
      </c>
      <c r="L14" s="386">
        <f t="shared" si="0"/>
        <v>16282</v>
      </c>
      <c r="M14" s="386">
        <f t="shared" si="0"/>
        <v>16813</v>
      </c>
      <c r="N14" s="386">
        <f t="shared" si="0"/>
        <v>17488</v>
      </c>
      <c r="O14" s="386">
        <f t="shared" si="0"/>
        <v>18256</v>
      </c>
      <c r="P14" s="386">
        <f t="shared" si="0"/>
        <v>19086</v>
      </c>
      <c r="Q14" s="386">
        <f t="shared" si="0"/>
        <v>20025</v>
      </c>
      <c r="R14" s="386">
        <f t="shared" si="0"/>
        <v>20821</v>
      </c>
      <c r="S14" s="386">
        <f t="shared" si="0"/>
        <v>21615</v>
      </c>
      <c r="T14" s="386">
        <f t="shared" si="0"/>
        <v>22570</v>
      </c>
      <c r="U14" s="386">
        <f t="shared" si="0"/>
        <v>23530</v>
      </c>
      <c r="V14" s="386">
        <f t="shared" si="0"/>
        <v>24186</v>
      </c>
      <c r="W14" s="386">
        <f t="shared" si="0"/>
        <v>24837</v>
      </c>
      <c r="X14" s="386">
        <f t="shared" si="0"/>
        <v>25213</v>
      </c>
      <c r="Y14" s="386">
        <f t="shared" si="0"/>
        <v>25317</v>
      </c>
      <c r="Z14" s="386">
        <f t="shared" si="0"/>
        <v>25559</v>
      </c>
      <c r="AA14" s="386">
        <f t="shared" si="0"/>
        <v>25843</v>
      </c>
      <c r="AB14" s="386">
        <f t="shared" si="0"/>
        <v>26116</v>
      </c>
      <c r="AC14" s="386">
        <f t="shared" si="0"/>
        <v>26459</v>
      </c>
      <c r="AD14" s="386">
        <f t="shared" si="0"/>
        <v>26676</v>
      </c>
      <c r="AE14" s="386">
        <f t="shared" si="0"/>
        <v>26864</v>
      </c>
      <c r="AF14" s="386">
        <f t="shared" si="0"/>
        <v>27027</v>
      </c>
      <c r="AG14" s="386">
        <f t="shared" si="0"/>
        <v>27558</v>
      </c>
      <c r="AH14" s="386">
        <f t="shared" si="0"/>
        <v>27837</v>
      </c>
      <c r="AI14" s="386">
        <f t="shared" si="0"/>
        <v>28355</v>
      </c>
      <c r="AJ14" s="386">
        <f t="shared" si="0"/>
        <v>29147</v>
      </c>
      <c r="AK14" s="386">
        <f t="shared" si="0"/>
        <v>29697</v>
      </c>
      <c r="AL14" s="386">
        <f t="shared" si="0"/>
        <v>30456</v>
      </c>
      <c r="AM14" s="386">
        <f t="shared" ref="AM14:AR14" si="1">SUM(AM10:AM12)</f>
        <v>31035</v>
      </c>
      <c r="AN14" s="386">
        <f t="shared" si="1"/>
        <v>33276</v>
      </c>
      <c r="AO14" s="386">
        <f t="shared" si="1"/>
        <v>35278</v>
      </c>
      <c r="AP14" s="386">
        <f t="shared" si="1"/>
        <v>37059</v>
      </c>
      <c r="AQ14" s="386">
        <f t="shared" si="1"/>
        <v>38740</v>
      </c>
      <c r="AR14" s="386">
        <f t="shared" si="1"/>
        <v>38424</v>
      </c>
      <c r="AS14" s="386">
        <f t="shared" ref="AS14" si="2">SUM(AS10:AS12)</f>
        <v>38175</v>
      </c>
      <c r="AT14" s="388"/>
      <c r="AU14" s="388"/>
      <c r="AV14" s="388"/>
      <c r="AW14" s="388"/>
      <c r="AX14" s="388"/>
      <c r="AY14" s="388"/>
      <c r="AZ14" s="388"/>
      <c r="BA14" s="388"/>
      <c r="BB14" s="388"/>
      <c r="BC14" s="388"/>
      <c r="BD14" s="388"/>
      <c r="BE14" s="388"/>
      <c r="BF14" s="388"/>
      <c r="BG14" s="388"/>
      <c r="BH14" s="388"/>
      <c r="BI14" s="388"/>
      <c r="BJ14" s="388"/>
      <c r="BK14" s="388"/>
      <c r="BL14" s="388"/>
      <c r="BM14" s="388"/>
      <c r="BN14" s="388"/>
      <c r="BO14" s="388"/>
      <c r="BP14" s="388"/>
      <c r="BQ14" s="388"/>
      <c r="BR14" s="388"/>
      <c r="BS14" s="388"/>
      <c r="BT14" s="388"/>
      <c r="BU14" s="388"/>
      <c r="BV14" s="388"/>
      <c r="BW14" s="388"/>
      <c r="BX14" s="388"/>
      <c r="BY14" s="388"/>
      <c r="BZ14" s="388"/>
      <c r="CA14" s="388"/>
      <c r="CB14" s="388"/>
      <c r="CC14" s="388"/>
      <c r="CD14" s="388"/>
      <c r="CE14" s="388"/>
      <c r="CF14" s="388"/>
      <c r="CG14" s="388"/>
      <c r="CH14" s="388"/>
      <c r="CI14" s="388"/>
      <c r="CJ14" s="388"/>
      <c r="CK14" s="388"/>
      <c r="CL14" s="388"/>
      <c r="CM14" s="388"/>
      <c r="CN14" s="388"/>
      <c r="CO14" s="388"/>
      <c r="CP14" s="388"/>
      <c r="CQ14" s="388"/>
      <c r="CR14" s="388"/>
      <c r="CS14" s="388"/>
      <c r="CT14" s="388"/>
      <c r="CU14" s="388"/>
      <c r="CV14" s="388"/>
      <c r="CW14" s="388"/>
      <c r="CX14" s="388"/>
      <c r="CY14" s="388"/>
      <c r="CZ14" s="388"/>
      <c r="DA14" s="388"/>
      <c r="DB14" s="388"/>
      <c r="DC14" s="388"/>
      <c r="DD14" s="388"/>
      <c r="DE14" s="388"/>
      <c r="DF14" s="388"/>
      <c r="DG14" s="388"/>
      <c r="DH14" s="388"/>
      <c r="DI14" s="388"/>
      <c r="DJ14" s="388"/>
      <c r="DK14" s="388"/>
      <c r="DL14" s="388"/>
      <c r="DM14" s="388"/>
      <c r="DN14" s="388"/>
      <c r="DO14" s="388"/>
      <c r="DP14" s="388"/>
      <c r="DQ14" s="388"/>
    </row>
    <row r="15" spans="1:121" s="228" customFormat="1" ht="5.0999999999999996" customHeight="1" thickTop="1" x14ac:dyDescent="0.2">
      <c r="A15" s="226"/>
      <c r="B15" s="277"/>
      <c r="C15" s="277"/>
      <c r="D15" s="277"/>
      <c r="E15" s="277"/>
      <c r="F15" s="277"/>
      <c r="G15" s="277"/>
      <c r="H15" s="277"/>
      <c r="I15" s="277"/>
      <c r="J15" s="254"/>
      <c r="K15" s="254"/>
      <c r="L15" s="254"/>
      <c r="M15" s="254"/>
      <c r="N15" s="254"/>
      <c r="O15" s="254"/>
      <c r="P15" s="254"/>
      <c r="Q15" s="254"/>
      <c r="R15" s="254"/>
      <c r="S15" s="254"/>
      <c r="T15" s="254"/>
      <c r="U15" s="254"/>
      <c r="V15" s="254"/>
      <c r="W15" s="254"/>
      <c r="X15" s="254"/>
      <c r="Y15" s="254"/>
      <c r="Z15" s="254"/>
      <c r="AA15" s="254"/>
      <c r="AB15" s="254"/>
      <c r="AC15" s="254"/>
      <c r="AD15" s="254"/>
      <c r="AE15" s="254"/>
      <c r="AF15" s="254"/>
      <c r="AG15" s="254"/>
      <c r="AH15" s="254"/>
      <c r="AI15" s="254"/>
      <c r="AJ15" s="254"/>
      <c r="AK15" s="254"/>
      <c r="AL15" s="254"/>
      <c r="AM15" s="254"/>
      <c r="AN15" s="254"/>
      <c r="AO15" s="254"/>
      <c r="AP15" s="254"/>
      <c r="AQ15" s="254"/>
      <c r="AR15" s="254"/>
      <c r="AS15" s="254"/>
    </row>
    <row r="16" spans="1:121" s="232" customFormat="1" ht="15" customHeight="1" x14ac:dyDescent="0.2">
      <c r="A16" s="229" t="s">
        <v>529</v>
      </c>
      <c r="B16" s="278">
        <v>18404</v>
      </c>
      <c r="C16" s="278">
        <v>18948</v>
      </c>
      <c r="D16" s="278">
        <v>19549</v>
      </c>
      <c r="E16" s="278">
        <v>20375</v>
      </c>
      <c r="F16" s="278">
        <v>21399</v>
      </c>
      <c r="G16" s="278">
        <v>22181</v>
      </c>
      <c r="H16" s="278">
        <v>22711</v>
      </c>
      <c r="I16" s="278">
        <v>23143</v>
      </c>
      <c r="J16" s="279">
        <v>24672</v>
      </c>
      <c r="K16" s="279">
        <v>26273</v>
      </c>
      <c r="L16" s="279">
        <v>28186</v>
      </c>
      <c r="M16" s="279">
        <v>29754</v>
      </c>
      <c r="N16" s="279">
        <v>30328</v>
      </c>
      <c r="O16" s="279">
        <v>30815</v>
      </c>
      <c r="P16" s="279">
        <v>31530</v>
      </c>
      <c r="Q16" s="279">
        <v>33056</v>
      </c>
      <c r="R16" s="279">
        <v>34729</v>
      </c>
      <c r="S16" s="279">
        <v>36153</v>
      </c>
      <c r="T16" s="279">
        <v>38081</v>
      </c>
      <c r="U16" s="279">
        <v>39321</v>
      </c>
      <c r="V16" s="279">
        <v>40654</v>
      </c>
      <c r="W16" s="279">
        <v>42217</v>
      </c>
      <c r="X16" s="279">
        <v>42942</v>
      </c>
      <c r="Y16" s="279">
        <v>43793</v>
      </c>
      <c r="Z16" s="279">
        <v>43804</v>
      </c>
      <c r="AA16" s="279">
        <v>43357</v>
      </c>
      <c r="AB16" s="279">
        <v>43131</v>
      </c>
      <c r="AC16" s="279">
        <v>43286</v>
      </c>
      <c r="AD16" s="279">
        <v>43542</v>
      </c>
      <c r="AE16" s="279">
        <v>45021</v>
      </c>
      <c r="AF16" s="279">
        <v>46573</v>
      </c>
      <c r="AG16" s="279">
        <v>48295</v>
      </c>
      <c r="AH16" s="279">
        <v>50932</v>
      </c>
      <c r="AI16" s="279">
        <v>52407</v>
      </c>
      <c r="AJ16" s="279">
        <v>53861</v>
      </c>
      <c r="AK16" s="279">
        <v>55387</v>
      </c>
      <c r="AL16" s="279">
        <v>56680</v>
      </c>
      <c r="AM16" s="279">
        <v>58101</v>
      </c>
      <c r="AN16" s="279">
        <v>61297</v>
      </c>
      <c r="AO16" s="279">
        <v>63718</v>
      </c>
      <c r="AP16" s="279">
        <v>64862</v>
      </c>
      <c r="AQ16" s="279">
        <v>65798</v>
      </c>
      <c r="AR16" s="279">
        <v>64405</v>
      </c>
      <c r="AS16" s="288">
        <v>63253</v>
      </c>
    </row>
    <row r="17" spans="1:45" s="689" customFormat="1" ht="5.0999999999999996" customHeight="1" x14ac:dyDescent="0.2">
      <c r="A17" s="117"/>
      <c r="B17" s="280"/>
      <c r="C17" s="280"/>
      <c r="D17" s="280"/>
      <c r="E17" s="280"/>
      <c r="F17" s="280"/>
      <c r="G17" s="280"/>
      <c r="H17" s="280"/>
      <c r="I17" s="280"/>
      <c r="J17" s="281"/>
      <c r="K17" s="281"/>
      <c r="L17" s="281"/>
      <c r="M17" s="281"/>
      <c r="N17" s="281"/>
      <c r="O17" s="281"/>
      <c r="P17" s="281"/>
      <c r="Q17" s="281"/>
      <c r="R17" s="281"/>
      <c r="S17" s="281"/>
      <c r="T17" s="281"/>
      <c r="U17" s="281"/>
      <c r="V17" s="281"/>
      <c r="W17" s="281"/>
      <c r="X17" s="281"/>
      <c r="Y17" s="281"/>
      <c r="Z17" s="281"/>
      <c r="AA17" s="281"/>
      <c r="AB17" s="281"/>
      <c r="AC17" s="281"/>
      <c r="AD17" s="281"/>
      <c r="AE17" s="281"/>
      <c r="AF17" s="281"/>
      <c r="AG17" s="281"/>
      <c r="AH17" s="281"/>
      <c r="AI17" s="281"/>
      <c r="AJ17" s="281"/>
      <c r="AK17" s="281"/>
      <c r="AL17" s="281"/>
      <c r="AM17" s="281"/>
      <c r="AN17" s="281"/>
      <c r="AO17" s="281"/>
      <c r="AP17" s="281"/>
      <c r="AQ17" s="281"/>
      <c r="AR17" s="281"/>
      <c r="AS17" s="421"/>
    </row>
    <row r="18" spans="1:45" s="232" customFormat="1" ht="15" customHeight="1" x14ac:dyDescent="0.2">
      <c r="A18" s="229" t="s">
        <v>192</v>
      </c>
      <c r="B18" s="278">
        <v>9076</v>
      </c>
      <c r="C18" s="278">
        <v>9574</v>
      </c>
      <c r="D18" s="278">
        <v>9964</v>
      </c>
      <c r="E18" s="278">
        <v>10416</v>
      </c>
      <c r="F18" s="278">
        <v>10649</v>
      </c>
      <c r="G18" s="278">
        <v>10792</v>
      </c>
      <c r="H18" s="278">
        <v>10829</v>
      </c>
      <c r="I18" s="278">
        <v>10744</v>
      </c>
      <c r="J18" s="279">
        <v>10776</v>
      </c>
      <c r="K18" s="279">
        <v>11030</v>
      </c>
      <c r="L18" s="279">
        <v>11189</v>
      </c>
      <c r="M18" s="279">
        <v>11616</v>
      </c>
      <c r="N18" s="279">
        <v>12017</v>
      </c>
      <c r="O18" s="279">
        <v>12359</v>
      </c>
      <c r="P18" s="279">
        <v>12929</v>
      </c>
      <c r="Q18" s="279">
        <v>13372</v>
      </c>
      <c r="R18" s="279">
        <v>13758</v>
      </c>
      <c r="S18" s="279">
        <v>14256</v>
      </c>
      <c r="T18" s="279">
        <v>14705</v>
      </c>
      <c r="U18" s="279">
        <v>15223</v>
      </c>
      <c r="V18" s="279">
        <v>15831</v>
      </c>
      <c r="W18" s="279">
        <v>16361</v>
      </c>
      <c r="X18" s="279">
        <v>16923</v>
      </c>
      <c r="Y18" s="279">
        <v>17512</v>
      </c>
      <c r="Z18" s="279">
        <v>17993</v>
      </c>
      <c r="AA18" s="279">
        <v>18695</v>
      </c>
      <c r="AB18" s="279">
        <v>19234</v>
      </c>
      <c r="AC18" s="279">
        <v>19786</v>
      </c>
      <c r="AD18" s="279">
        <v>20470</v>
      </c>
      <c r="AE18" s="279">
        <v>20815</v>
      </c>
      <c r="AF18" s="279">
        <v>21477</v>
      </c>
      <c r="AG18" s="279">
        <v>22089</v>
      </c>
      <c r="AH18" s="279">
        <v>22550</v>
      </c>
      <c r="AI18" s="279">
        <v>23340</v>
      </c>
      <c r="AJ18" s="279">
        <v>24081</v>
      </c>
      <c r="AK18" s="279">
        <v>24839</v>
      </c>
      <c r="AL18" s="279">
        <v>25500</v>
      </c>
      <c r="AM18" s="279">
        <v>26006</v>
      </c>
      <c r="AN18" s="279">
        <v>27076</v>
      </c>
      <c r="AO18" s="279">
        <v>28024</v>
      </c>
      <c r="AP18" s="279">
        <v>29049</v>
      </c>
      <c r="AQ18" s="279">
        <v>29921</v>
      </c>
      <c r="AR18" s="279">
        <v>30293</v>
      </c>
      <c r="AS18" s="288">
        <v>30810</v>
      </c>
    </row>
    <row r="19" spans="1:45" s="228" customFormat="1" ht="5.0999999999999996" customHeight="1" x14ac:dyDescent="0.2">
      <c r="A19" s="226"/>
      <c r="B19" s="277"/>
      <c r="C19" s="277"/>
      <c r="D19" s="277"/>
      <c r="E19" s="277"/>
      <c r="F19" s="277"/>
      <c r="G19" s="277"/>
      <c r="H19" s="277"/>
      <c r="I19" s="277"/>
      <c r="J19" s="254"/>
      <c r="K19" s="254"/>
      <c r="L19" s="254"/>
      <c r="M19" s="254"/>
      <c r="N19" s="254"/>
      <c r="O19" s="254"/>
      <c r="P19" s="254"/>
      <c r="Q19" s="254"/>
      <c r="R19" s="254"/>
      <c r="S19" s="254"/>
      <c r="T19" s="254"/>
      <c r="U19" s="254"/>
      <c r="V19" s="254"/>
      <c r="W19" s="254"/>
      <c r="X19" s="254"/>
      <c r="Y19" s="254"/>
      <c r="Z19" s="254"/>
      <c r="AA19" s="254"/>
      <c r="AB19" s="254"/>
      <c r="AC19" s="254"/>
      <c r="AD19" s="254"/>
      <c r="AE19" s="254"/>
      <c r="AF19" s="254"/>
      <c r="AG19" s="254"/>
      <c r="AH19" s="254"/>
      <c r="AI19" s="254"/>
      <c r="AJ19" s="254"/>
      <c r="AK19" s="254"/>
      <c r="AL19" s="254"/>
      <c r="AM19" s="254"/>
      <c r="AN19" s="254"/>
      <c r="AO19" s="254"/>
      <c r="AP19" s="254"/>
      <c r="AQ19" s="254"/>
      <c r="AR19" s="254"/>
      <c r="AS19" s="259"/>
    </row>
    <row r="20" spans="1:45" s="228" customFormat="1" ht="15" customHeight="1" x14ac:dyDescent="0.2">
      <c r="A20" s="226" t="s">
        <v>569</v>
      </c>
      <c r="B20" s="277">
        <v>18810</v>
      </c>
      <c r="C20" s="277">
        <v>19600</v>
      </c>
      <c r="D20" s="277">
        <v>20290</v>
      </c>
      <c r="E20" s="277">
        <v>20857</v>
      </c>
      <c r="F20" s="277">
        <v>21499</v>
      </c>
      <c r="G20" s="277">
        <v>22272</v>
      </c>
      <c r="H20" s="277">
        <v>22741</v>
      </c>
      <c r="I20" s="277">
        <v>22823</v>
      </c>
      <c r="J20" s="254">
        <v>22983</v>
      </c>
      <c r="K20" s="254">
        <v>23355</v>
      </c>
      <c r="L20" s="254">
        <v>24242</v>
      </c>
      <c r="M20" s="254">
        <v>26110</v>
      </c>
      <c r="N20" s="254">
        <v>27456</v>
      </c>
      <c r="O20" s="254">
        <v>28474</v>
      </c>
      <c r="P20" s="254">
        <v>29480</v>
      </c>
      <c r="Q20" s="254">
        <v>30478</v>
      </c>
      <c r="R20" s="254">
        <v>31474</v>
      </c>
      <c r="S20" s="254">
        <v>33983</v>
      </c>
      <c r="T20" s="254">
        <v>35307</v>
      </c>
      <c r="U20" s="254">
        <v>37363</v>
      </c>
      <c r="V20" s="254">
        <v>38925</v>
      </c>
      <c r="W20" s="254">
        <v>40852</v>
      </c>
      <c r="X20" s="254">
        <v>43865</v>
      </c>
      <c r="Y20" s="254">
        <v>45949</v>
      </c>
      <c r="Z20" s="254">
        <v>47501</v>
      </c>
      <c r="AA20" s="254">
        <v>49198</v>
      </c>
      <c r="AB20" s="254">
        <v>48237</v>
      </c>
      <c r="AC20" s="254">
        <v>49526</v>
      </c>
      <c r="AD20" s="254">
        <v>50007</v>
      </c>
      <c r="AE20" s="254">
        <v>50701</v>
      </c>
      <c r="AF20" s="254">
        <v>52495</v>
      </c>
      <c r="AG20" s="254">
        <v>55798</v>
      </c>
      <c r="AH20" s="254">
        <v>57990</v>
      </c>
      <c r="AI20" s="254">
        <v>60757</v>
      </c>
      <c r="AJ20" s="254">
        <v>62978</v>
      </c>
      <c r="AK20" s="254">
        <v>64268</v>
      </c>
      <c r="AL20" s="254">
        <v>65807</v>
      </c>
      <c r="AM20" s="254">
        <v>66335</v>
      </c>
      <c r="AN20" s="254">
        <v>68959</v>
      </c>
      <c r="AO20" s="254">
        <v>71113</v>
      </c>
      <c r="AP20" s="254">
        <v>73895</v>
      </c>
      <c r="AQ20" s="254">
        <v>75143</v>
      </c>
      <c r="AR20" s="254">
        <v>76116</v>
      </c>
      <c r="AS20" s="259">
        <v>76098</v>
      </c>
    </row>
    <row r="21" spans="1:45" s="228" customFormat="1" ht="15" customHeight="1" x14ac:dyDescent="0.2">
      <c r="A21" s="226" t="s">
        <v>570</v>
      </c>
      <c r="B21" s="277">
        <v>-9335</v>
      </c>
      <c r="C21" s="277">
        <v>-10148</v>
      </c>
      <c r="D21" s="277">
        <v>-10901</v>
      </c>
      <c r="E21" s="277">
        <v>-11670</v>
      </c>
      <c r="F21" s="277">
        <v>-11790</v>
      </c>
      <c r="G21" s="277">
        <v>-11774</v>
      </c>
      <c r="H21" s="277">
        <v>-11446</v>
      </c>
      <c r="I21" s="277">
        <v>-10533</v>
      </c>
      <c r="J21" s="254">
        <v>-10263</v>
      </c>
      <c r="K21" s="254">
        <v>-10474</v>
      </c>
      <c r="L21" s="254">
        <v>-11055</v>
      </c>
      <c r="M21" s="254">
        <v>-12786</v>
      </c>
      <c r="N21" s="254">
        <v>-13642</v>
      </c>
      <c r="O21" s="254">
        <v>-13831</v>
      </c>
      <c r="P21" s="254">
        <v>-14097</v>
      </c>
      <c r="Q21" s="254">
        <v>-14340</v>
      </c>
      <c r="R21" s="254">
        <v>-14545</v>
      </c>
      <c r="S21" s="254">
        <v>-16423</v>
      </c>
      <c r="T21" s="254">
        <v>-16949</v>
      </c>
      <c r="U21" s="254">
        <v>-18262</v>
      </c>
      <c r="V21" s="254">
        <v>-19075</v>
      </c>
      <c r="W21" s="254">
        <v>-20250</v>
      </c>
      <c r="X21" s="254">
        <v>-22457</v>
      </c>
      <c r="Y21" s="254">
        <v>-23448</v>
      </c>
      <c r="Z21" s="254">
        <v>-24000</v>
      </c>
      <c r="AA21" s="254">
        <v>-24702</v>
      </c>
      <c r="AB21" s="254">
        <v>-22576</v>
      </c>
      <c r="AC21" s="254">
        <v>-22988</v>
      </c>
      <c r="AD21" s="254">
        <v>-22446</v>
      </c>
      <c r="AE21" s="254">
        <v>-22153</v>
      </c>
      <c r="AF21" s="254">
        <v>-22894</v>
      </c>
      <c r="AG21" s="254">
        <v>-24777</v>
      </c>
      <c r="AH21" s="254">
        <v>-25881</v>
      </c>
      <c r="AI21" s="254">
        <v>-27572</v>
      </c>
      <c r="AJ21" s="254">
        <v>-28335</v>
      </c>
      <c r="AK21" s="254">
        <v>-28804</v>
      </c>
      <c r="AL21" s="254">
        <v>-29342</v>
      </c>
      <c r="AM21" s="254">
        <v>-28911</v>
      </c>
      <c r="AN21" s="254">
        <v>-31549</v>
      </c>
      <c r="AO21" s="254">
        <v>-32789</v>
      </c>
      <c r="AP21" s="254">
        <v>-34738</v>
      </c>
      <c r="AQ21" s="254">
        <v>-34818</v>
      </c>
      <c r="AR21" s="254">
        <v>-34845</v>
      </c>
      <c r="AS21" s="259">
        <v>-34811</v>
      </c>
    </row>
    <row r="22" spans="1:45" s="228" customFormat="1" ht="15" customHeight="1" x14ac:dyDescent="0.2">
      <c r="A22" s="226" t="s">
        <v>530</v>
      </c>
      <c r="B22" s="277">
        <v>-6045</v>
      </c>
      <c r="C22" s="277">
        <v>-6072</v>
      </c>
      <c r="D22" s="277">
        <v>-6071</v>
      </c>
      <c r="E22" s="277">
        <v>-6014</v>
      </c>
      <c r="F22" s="277">
        <v>-6226</v>
      </c>
      <c r="G22" s="277">
        <v>-6505</v>
      </c>
      <c r="H22" s="277">
        <v>-6840</v>
      </c>
      <c r="I22" s="277">
        <v>-7392</v>
      </c>
      <c r="J22" s="254">
        <v>-7734</v>
      </c>
      <c r="K22" s="254">
        <v>-7890</v>
      </c>
      <c r="L22" s="254">
        <v>-8279</v>
      </c>
      <c r="M22" s="254">
        <v>-8329</v>
      </c>
      <c r="N22" s="254">
        <v>-8614</v>
      </c>
      <c r="O22" s="254">
        <v>-9000</v>
      </c>
      <c r="P22" s="282">
        <v>-9260</v>
      </c>
      <c r="Q22" s="254">
        <v>-9577</v>
      </c>
      <c r="R22" s="254">
        <v>-10015</v>
      </c>
      <c r="S22" s="282">
        <v>-10428</v>
      </c>
      <c r="T22" s="254">
        <v>-10831</v>
      </c>
      <c r="U22" s="254">
        <v>-11168</v>
      </c>
      <c r="V22" s="254">
        <f>-11168+2705-3080</f>
        <v>-11543</v>
      </c>
      <c r="W22" s="254">
        <f>-14885+2969</f>
        <v>-11916</v>
      </c>
      <c r="X22" s="254">
        <v>-12325</v>
      </c>
      <c r="Y22" s="254">
        <v>-12946</v>
      </c>
      <c r="Z22" s="254">
        <v>-13415</v>
      </c>
      <c r="AA22" s="254">
        <v>-14030</v>
      </c>
      <c r="AB22" s="254">
        <v>-14853</v>
      </c>
      <c r="AC22" s="254">
        <v>-15392</v>
      </c>
      <c r="AD22" s="254">
        <v>-16059</v>
      </c>
      <c r="AE22" s="254">
        <v>-16540</v>
      </c>
      <c r="AF22" s="254">
        <v>-17212</v>
      </c>
      <c r="AG22" s="254">
        <v>-18144</v>
      </c>
      <c r="AH22" s="254">
        <v>-19005</v>
      </c>
      <c r="AI22" s="254">
        <v>-19922</v>
      </c>
      <c r="AJ22" s="254">
        <f>-26084-AJ23</f>
        <v>-20993</v>
      </c>
      <c r="AK22" s="254">
        <f>-26731-AK23</f>
        <v>-21724</v>
      </c>
      <c r="AL22" s="254">
        <v>-22264</v>
      </c>
      <c r="AM22" s="254">
        <v>-23317</v>
      </c>
      <c r="AN22" s="254">
        <v>-23250</v>
      </c>
      <c r="AO22" s="254">
        <v>-23688</v>
      </c>
      <c r="AP22" s="254">
        <v>-24384</v>
      </c>
      <c r="AQ22" s="254">
        <v>-24746</v>
      </c>
      <c r="AR22" s="254">
        <v>-25522</v>
      </c>
      <c r="AS22" s="259">
        <v>-25588</v>
      </c>
    </row>
    <row r="23" spans="1:45" s="228" customFormat="1" ht="15" customHeight="1" x14ac:dyDescent="0.2">
      <c r="A23" s="226" t="s">
        <v>571</v>
      </c>
      <c r="B23" s="277">
        <v>-1238</v>
      </c>
      <c r="C23" s="277">
        <v>-1303</v>
      </c>
      <c r="D23" s="277">
        <v>-1344</v>
      </c>
      <c r="E23" s="277">
        <v>-1378</v>
      </c>
      <c r="F23" s="277">
        <v>-1395</v>
      </c>
      <c r="G23" s="277">
        <v>-1397</v>
      </c>
      <c r="H23" s="277">
        <v>-1433</v>
      </c>
      <c r="I23" s="277">
        <v>-1465</v>
      </c>
      <c r="J23" s="254">
        <v>-1511</v>
      </c>
      <c r="K23" s="254">
        <v>-1568</v>
      </c>
      <c r="L23" s="254">
        <v>-1635</v>
      </c>
      <c r="M23" s="254">
        <v>-1747</v>
      </c>
      <c r="N23" s="254">
        <v>-1834</v>
      </c>
      <c r="O23" s="254">
        <v>-1941</v>
      </c>
      <c r="P23" s="282">
        <v>-2065</v>
      </c>
      <c r="Q23" s="254">
        <v>-2186</v>
      </c>
      <c r="R23" s="254">
        <v>-2284</v>
      </c>
      <c r="S23" s="282">
        <v>-2407</v>
      </c>
      <c r="T23" s="254">
        <v>-2570</v>
      </c>
      <c r="U23" s="254">
        <v>-2652</v>
      </c>
      <c r="V23" s="254">
        <f>-2652+549-709</f>
        <v>-2812</v>
      </c>
      <c r="W23" s="254">
        <v>-2969</v>
      </c>
      <c r="X23" s="254">
        <v>-3124</v>
      </c>
      <c r="Y23" s="254">
        <v>-3381</v>
      </c>
      <c r="Z23" s="254">
        <v>-3544</v>
      </c>
      <c r="AA23" s="254">
        <v>-3756</v>
      </c>
      <c r="AB23" s="254">
        <v>-3973</v>
      </c>
      <c r="AC23" s="254">
        <v>-4164</v>
      </c>
      <c r="AD23" s="254">
        <v>-4379</v>
      </c>
      <c r="AE23" s="254">
        <v>-4541</v>
      </c>
      <c r="AF23" s="254">
        <v>-4728</v>
      </c>
      <c r="AG23" s="254">
        <v>-4894</v>
      </c>
      <c r="AH23" s="254">
        <v>-5025</v>
      </c>
      <c r="AI23" s="254">
        <v>-5050</v>
      </c>
      <c r="AJ23" s="254">
        <v>-5091</v>
      </c>
      <c r="AK23" s="254">
        <v>-5007</v>
      </c>
      <c r="AL23" s="254">
        <v>-5015</v>
      </c>
      <c r="AM23" s="254">
        <v>-5118</v>
      </c>
      <c r="AN23" s="254">
        <v>-5229</v>
      </c>
      <c r="AO23" s="254">
        <v>-5372</v>
      </c>
      <c r="AP23" s="254">
        <v>-5446</v>
      </c>
      <c r="AQ23" s="254">
        <v>-5554</v>
      </c>
      <c r="AR23" s="254">
        <v>-5536</v>
      </c>
      <c r="AS23" s="259">
        <v>-5459</v>
      </c>
    </row>
    <row r="24" spans="1:45" s="228" customFormat="1" ht="15" customHeight="1" x14ac:dyDescent="0.2">
      <c r="A24" s="226" t="s">
        <v>572</v>
      </c>
      <c r="B24" s="277">
        <v>-1040</v>
      </c>
      <c r="C24" s="277">
        <v>-1051</v>
      </c>
      <c r="D24" s="277">
        <v>-1065</v>
      </c>
      <c r="E24" s="277">
        <v>-1084</v>
      </c>
      <c r="F24" s="277">
        <v>-1103</v>
      </c>
      <c r="G24" s="277">
        <v>-1160</v>
      </c>
      <c r="H24" s="277">
        <v>-1165</v>
      </c>
      <c r="I24" s="277">
        <v>-1178</v>
      </c>
      <c r="J24" s="254">
        <v>-1198</v>
      </c>
      <c r="K24" s="254">
        <v>-1184</v>
      </c>
      <c r="L24" s="254">
        <v>-1230</v>
      </c>
      <c r="M24" s="254">
        <v>-1265</v>
      </c>
      <c r="N24" s="254">
        <v>-1337</v>
      </c>
      <c r="O24" s="254">
        <v>-1416</v>
      </c>
      <c r="P24" s="254">
        <v>-1502</v>
      </c>
      <c r="Q24" s="254">
        <v>-1603</v>
      </c>
      <c r="R24" s="282">
        <v>-1656</v>
      </c>
      <c r="S24" s="254">
        <v>-1749</v>
      </c>
      <c r="T24" s="254">
        <v>-1820</v>
      </c>
      <c r="U24" s="254">
        <v>-1911</v>
      </c>
      <c r="V24" s="282">
        <v>-2033</v>
      </c>
      <c r="W24" s="254">
        <v>-2090</v>
      </c>
      <c r="X24" s="254">
        <v>-2167</v>
      </c>
      <c r="Y24" s="254">
        <v>-2360</v>
      </c>
      <c r="Z24" s="282">
        <v>-2450</v>
      </c>
      <c r="AA24" s="282">
        <v>-2543</v>
      </c>
      <c r="AB24" s="282">
        <v>-2597</v>
      </c>
      <c r="AC24" s="282">
        <v>-2511</v>
      </c>
      <c r="AD24" s="282">
        <v>-2563</v>
      </c>
      <c r="AE24" s="282">
        <v>-2665</v>
      </c>
      <c r="AF24" s="282">
        <v>-2789</v>
      </c>
      <c r="AG24" s="254">
        <v>-2936</v>
      </c>
      <c r="AH24" s="254">
        <v>-3065</v>
      </c>
      <c r="AI24" s="254">
        <v>-3158</v>
      </c>
      <c r="AJ24" s="254">
        <v>-3263</v>
      </c>
      <c r="AK24" s="254">
        <v>-3307</v>
      </c>
      <c r="AL24" s="254">
        <v>-3346</v>
      </c>
      <c r="AM24" s="254">
        <v>-3376</v>
      </c>
      <c r="AN24" s="254">
        <v>-3449</v>
      </c>
      <c r="AO24" s="254">
        <v>-3595</v>
      </c>
      <c r="AP24" s="254">
        <v>-3656</v>
      </c>
      <c r="AQ24" s="254">
        <v>-3657</v>
      </c>
      <c r="AR24" s="254">
        <v>-3614</v>
      </c>
      <c r="AS24" s="259">
        <v>-3448</v>
      </c>
    </row>
    <row r="25" spans="1:45" s="232" customFormat="1" ht="15" customHeight="1" x14ac:dyDescent="0.2">
      <c r="A25" s="229" t="s">
        <v>573</v>
      </c>
      <c r="B25" s="278">
        <f t="shared" ref="B25:AM25" si="3">SUM(B20:B24)</f>
        <v>1152</v>
      </c>
      <c r="C25" s="278">
        <f t="shared" si="3"/>
        <v>1026</v>
      </c>
      <c r="D25" s="278">
        <f t="shared" si="3"/>
        <v>909</v>
      </c>
      <c r="E25" s="278">
        <f t="shared" si="3"/>
        <v>711</v>
      </c>
      <c r="F25" s="278">
        <f t="shared" si="3"/>
        <v>985</v>
      </c>
      <c r="G25" s="278">
        <f t="shared" si="3"/>
        <v>1436</v>
      </c>
      <c r="H25" s="278">
        <f t="shared" si="3"/>
        <v>1857</v>
      </c>
      <c r="I25" s="278">
        <f t="shared" si="3"/>
        <v>2255</v>
      </c>
      <c r="J25" s="279">
        <f t="shared" si="3"/>
        <v>2277</v>
      </c>
      <c r="K25" s="279">
        <f t="shared" si="3"/>
        <v>2239</v>
      </c>
      <c r="L25" s="279">
        <f t="shared" si="3"/>
        <v>2043</v>
      </c>
      <c r="M25" s="279">
        <f t="shared" si="3"/>
        <v>1983</v>
      </c>
      <c r="N25" s="279">
        <f t="shared" si="3"/>
        <v>2029</v>
      </c>
      <c r="O25" s="279">
        <f t="shared" si="3"/>
        <v>2286</v>
      </c>
      <c r="P25" s="279">
        <f t="shared" si="3"/>
        <v>2556</v>
      </c>
      <c r="Q25" s="279">
        <f t="shared" si="3"/>
        <v>2772</v>
      </c>
      <c r="R25" s="279">
        <f t="shared" si="3"/>
        <v>2974</v>
      </c>
      <c r="S25" s="279">
        <f t="shared" si="3"/>
        <v>2976</v>
      </c>
      <c r="T25" s="279">
        <f t="shared" si="3"/>
        <v>3137</v>
      </c>
      <c r="U25" s="279">
        <f t="shared" si="3"/>
        <v>3370</v>
      </c>
      <c r="V25" s="279">
        <f t="shared" si="3"/>
        <v>3462</v>
      </c>
      <c r="W25" s="279">
        <f t="shared" si="3"/>
        <v>3627</v>
      </c>
      <c r="X25" s="279">
        <f t="shared" si="3"/>
        <v>3792</v>
      </c>
      <c r="Y25" s="279">
        <f t="shared" si="3"/>
        <v>3814</v>
      </c>
      <c r="Z25" s="279">
        <f t="shared" si="3"/>
        <v>4092</v>
      </c>
      <c r="AA25" s="279">
        <f t="shared" si="3"/>
        <v>4167</v>
      </c>
      <c r="AB25" s="279">
        <f t="shared" si="3"/>
        <v>4238</v>
      </c>
      <c r="AC25" s="279">
        <f t="shared" si="3"/>
        <v>4471</v>
      </c>
      <c r="AD25" s="279">
        <f t="shared" si="3"/>
        <v>4560</v>
      </c>
      <c r="AE25" s="279">
        <f t="shared" si="3"/>
        <v>4802</v>
      </c>
      <c r="AF25" s="279">
        <f t="shared" si="3"/>
        <v>4872</v>
      </c>
      <c r="AG25" s="279">
        <f t="shared" si="3"/>
        <v>5047</v>
      </c>
      <c r="AH25" s="279">
        <f t="shared" si="3"/>
        <v>5014</v>
      </c>
      <c r="AI25" s="279">
        <f t="shared" si="3"/>
        <v>5055</v>
      </c>
      <c r="AJ25" s="279">
        <f t="shared" si="3"/>
        <v>5296</v>
      </c>
      <c r="AK25" s="279">
        <f t="shared" si="3"/>
        <v>5426</v>
      </c>
      <c r="AL25" s="279">
        <f t="shared" si="3"/>
        <v>5840</v>
      </c>
      <c r="AM25" s="279">
        <f t="shared" si="3"/>
        <v>5613</v>
      </c>
      <c r="AN25" s="279">
        <f>SUM(AN20:AN24)</f>
        <v>5482</v>
      </c>
      <c r="AO25" s="279">
        <v>5669</v>
      </c>
      <c r="AP25" s="279">
        <v>5671</v>
      </c>
      <c r="AQ25" s="279">
        <v>6368</v>
      </c>
      <c r="AR25" s="279">
        <v>6599</v>
      </c>
      <c r="AS25" s="288">
        <f t="shared" ref="AS25" si="4">SUM(AS20:AS24)</f>
        <v>6792</v>
      </c>
    </row>
    <row r="26" spans="1:45" s="228" customFormat="1" ht="5.0999999999999996" customHeight="1" x14ac:dyDescent="0.2">
      <c r="A26" s="226"/>
      <c r="B26" s="277"/>
      <c r="C26" s="277"/>
      <c r="D26" s="277"/>
      <c r="E26" s="277"/>
      <c r="F26" s="277"/>
      <c r="G26" s="277"/>
      <c r="H26" s="277"/>
      <c r="I26" s="277"/>
      <c r="J26" s="254"/>
      <c r="K26" s="254"/>
      <c r="L26" s="254"/>
      <c r="M26" s="254"/>
      <c r="N26" s="254"/>
      <c r="O26" s="254"/>
      <c r="P26" s="254"/>
      <c r="Q26" s="254"/>
      <c r="R26" s="254"/>
      <c r="S26" s="254"/>
      <c r="T26" s="254"/>
      <c r="U26" s="254"/>
      <c r="V26" s="254"/>
      <c r="W26" s="254"/>
      <c r="X26" s="254"/>
      <c r="Y26" s="254"/>
      <c r="Z26" s="254"/>
      <c r="AA26" s="254"/>
      <c r="AB26" s="254"/>
      <c r="AC26" s="254"/>
      <c r="AD26" s="254"/>
      <c r="AE26" s="254"/>
      <c r="AF26" s="254"/>
      <c r="AG26" s="254"/>
      <c r="AH26" s="254"/>
      <c r="AI26" s="254"/>
      <c r="AJ26" s="254"/>
      <c r="AK26" s="254"/>
      <c r="AL26" s="254"/>
      <c r="AM26" s="254"/>
      <c r="AN26" s="254"/>
      <c r="AO26" s="254"/>
      <c r="AP26" s="254"/>
      <c r="AQ26" s="254"/>
      <c r="AR26" s="254"/>
      <c r="AS26" s="259"/>
    </row>
    <row r="27" spans="1:45" s="232" customFormat="1" ht="15" customHeight="1" x14ac:dyDescent="0.2">
      <c r="A27" s="229" t="s">
        <v>574</v>
      </c>
      <c r="B27" s="278">
        <v>80</v>
      </c>
      <c r="C27" s="278">
        <v>54</v>
      </c>
      <c r="D27" s="278">
        <v>62</v>
      </c>
      <c r="E27" s="278">
        <v>42</v>
      </c>
      <c r="F27" s="278">
        <v>62</v>
      </c>
      <c r="G27" s="278">
        <v>92</v>
      </c>
      <c r="H27" s="278">
        <v>99</v>
      </c>
      <c r="I27" s="278">
        <v>136</v>
      </c>
      <c r="J27" s="279">
        <v>110</v>
      </c>
      <c r="K27" s="279">
        <v>89</v>
      </c>
      <c r="L27" s="279">
        <v>105</v>
      </c>
      <c r="M27" s="279">
        <v>140</v>
      </c>
      <c r="N27" s="279">
        <v>163</v>
      </c>
      <c r="O27" s="279">
        <v>169</v>
      </c>
      <c r="P27" s="279">
        <v>149</v>
      </c>
      <c r="Q27" s="279">
        <v>127</v>
      </c>
      <c r="R27" s="279">
        <v>132</v>
      </c>
      <c r="S27" s="279">
        <v>129</v>
      </c>
      <c r="T27" s="279">
        <v>151</v>
      </c>
      <c r="U27" s="279">
        <v>144</v>
      </c>
      <c r="V27" s="279">
        <v>150</v>
      </c>
      <c r="W27" s="279">
        <v>153</v>
      </c>
      <c r="X27" s="279">
        <v>157</v>
      </c>
      <c r="Y27" s="279">
        <v>149</v>
      </c>
      <c r="Z27" s="279">
        <v>112</v>
      </c>
      <c r="AA27" s="279">
        <v>105</v>
      </c>
      <c r="AB27" s="279">
        <v>62</v>
      </c>
      <c r="AC27" s="279">
        <v>43</v>
      </c>
      <c r="AD27" s="279">
        <v>92</v>
      </c>
      <c r="AE27" s="279">
        <v>115</v>
      </c>
      <c r="AF27" s="279">
        <v>156</v>
      </c>
      <c r="AG27" s="279">
        <v>187</v>
      </c>
      <c r="AH27" s="279">
        <v>115</v>
      </c>
      <c r="AI27" s="279">
        <v>113</v>
      </c>
      <c r="AJ27" s="279">
        <v>108</v>
      </c>
      <c r="AK27" s="279">
        <v>144</v>
      </c>
      <c r="AL27" s="279">
        <v>204</v>
      </c>
      <c r="AM27" s="279">
        <v>193</v>
      </c>
      <c r="AN27" s="279">
        <v>263</v>
      </c>
      <c r="AO27" s="279">
        <v>218</v>
      </c>
      <c r="AP27" s="279">
        <v>236</v>
      </c>
      <c r="AQ27" s="279">
        <v>276</v>
      </c>
      <c r="AR27" s="279">
        <v>210</v>
      </c>
      <c r="AS27" s="288">
        <v>192</v>
      </c>
    </row>
    <row r="28" spans="1:45" s="228" customFormat="1" ht="5.0999999999999996" customHeight="1" x14ac:dyDescent="0.2">
      <c r="A28" s="226"/>
      <c r="B28" s="277"/>
      <c r="C28" s="277"/>
      <c r="D28" s="277"/>
      <c r="E28" s="277"/>
      <c r="F28" s="277"/>
      <c r="G28" s="277"/>
      <c r="H28" s="277"/>
      <c r="I28" s="277"/>
      <c r="J28" s="254"/>
      <c r="K28" s="254"/>
      <c r="L28" s="254"/>
      <c r="M28" s="254"/>
      <c r="N28" s="254"/>
      <c r="O28" s="254"/>
      <c r="P28" s="254"/>
      <c r="Q28" s="254"/>
      <c r="R28" s="254"/>
      <c r="S28" s="254"/>
      <c r="T28" s="254"/>
      <c r="U28" s="254"/>
      <c r="V28" s="254"/>
      <c r="W28" s="254"/>
      <c r="X28" s="254"/>
      <c r="Y28" s="254"/>
      <c r="Z28" s="254"/>
      <c r="AA28" s="254"/>
      <c r="AB28" s="254"/>
      <c r="AC28" s="254"/>
      <c r="AD28" s="254"/>
      <c r="AE28" s="254"/>
      <c r="AF28" s="254"/>
      <c r="AG28" s="254"/>
      <c r="AH28" s="254"/>
      <c r="AI28" s="254"/>
      <c r="AJ28" s="254"/>
      <c r="AK28" s="254"/>
      <c r="AL28" s="254"/>
      <c r="AM28" s="254"/>
      <c r="AN28" s="254"/>
      <c r="AO28" s="254"/>
      <c r="AP28" s="254"/>
      <c r="AQ28" s="254"/>
      <c r="AR28" s="254"/>
      <c r="AS28" s="259"/>
    </row>
    <row r="29" spans="1:45" s="232" customFormat="1" ht="15" customHeight="1" x14ac:dyDescent="0.2">
      <c r="A29" s="229" t="s">
        <v>534</v>
      </c>
      <c r="B29" s="283">
        <v>724</v>
      </c>
      <c r="C29" s="283">
        <v>770</v>
      </c>
      <c r="D29" s="283">
        <v>798</v>
      </c>
      <c r="E29" s="283">
        <v>865</v>
      </c>
      <c r="F29" s="283">
        <v>804</v>
      </c>
      <c r="G29" s="283">
        <v>744</v>
      </c>
      <c r="H29" s="283">
        <v>853</v>
      </c>
      <c r="I29" s="283">
        <v>792</v>
      </c>
      <c r="J29" s="284">
        <v>852</v>
      </c>
      <c r="K29" s="284">
        <v>1039</v>
      </c>
      <c r="L29" s="284">
        <v>930</v>
      </c>
      <c r="M29" s="284">
        <v>997</v>
      </c>
      <c r="N29" s="284">
        <v>1064</v>
      </c>
      <c r="O29" s="284">
        <v>1047</v>
      </c>
      <c r="P29" s="284">
        <v>1156</v>
      </c>
      <c r="Q29" s="284">
        <v>1287</v>
      </c>
      <c r="R29" s="284">
        <v>1392</v>
      </c>
      <c r="S29" s="284">
        <v>1510</v>
      </c>
      <c r="T29" s="284">
        <v>1660</v>
      </c>
      <c r="U29" s="284">
        <v>1638</v>
      </c>
      <c r="V29" s="284">
        <v>1797</v>
      </c>
      <c r="W29" s="284">
        <v>1634</v>
      </c>
      <c r="X29" s="284">
        <v>1831</v>
      </c>
      <c r="Y29" s="284">
        <v>1869</v>
      </c>
      <c r="Z29" s="284">
        <v>1741</v>
      </c>
      <c r="AA29" s="284">
        <v>1771</v>
      </c>
      <c r="AB29" s="284">
        <v>2163</v>
      </c>
      <c r="AC29" s="284">
        <v>2621</v>
      </c>
      <c r="AD29" s="284">
        <v>3168</v>
      </c>
      <c r="AE29" s="284">
        <v>3435</v>
      </c>
      <c r="AF29" s="284">
        <v>3580</v>
      </c>
      <c r="AG29" s="284">
        <v>3823</v>
      </c>
      <c r="AH29" s="284">
        <v>3775</v>
      </c>
      <c r="AI29" s="284">
        <v>4471</v>
      </c>
      <c r="AJ29" s="284">
        <v>4538</v>
      </c>
      <c r="AK29" s="284">
        <v>4645</v>
      </c>
      <c r="AL29" s="284">
        <v>4884</v>
      </c>
      <c r="AM29" s="284">
        <v>4512</v>
      </c>
      <c r="AN29" s="284">
        <v>5053</v>
      </c>
      <c r="AO29" s="284">
        <v>5589</v>
      </c>
      <c r="AP29" s="284">
        <v>6014</v>
      </c>
      <c r="AQ29" s="284">
        <v>6491</v>
      </c>
      <c r="AR29" s="284">
        <v>6874</v>
      </c>
      <c r="AS29" s="423">
        <v>6300</v>
      </c>
    </row>
    <row r="30" spans="1:45" s="228" customFormat="1" ht="5.0999999999999996" customHeight="1" x14ac:dyDescent="0.2">
      <c r="A30" s="226"/>
      <c r="B30" s="277"/>
      <c r="C30" s="277"/>
      <c r="D30" s="277"/>
      <c r="E30" s="277"/>
      <c r="F30" s="277"/>
      <c r="G30" s="277"/>
      <c r="H30" s="277"/>
      <c r="I30" s="277"/>
      <c r="J30" s="254"/>
      <c r="K30" s="254"/>
      <c r="L30" s="254"/>
      <c r="M30" s="254"/>
      <c r="N30" s="254"/>
      <c r="O30" s="254"/>
      <c r="P30" s="254"/>
      <c r="Q30" s="254"/>
      <c r="R30" s="254"/>
      <c r="S30" s="254"/>
      <c r="T30" s="254"/>
      <c r="U30" s="254"/>
      <c r="V30" s="254"/>
      <c r="W30" s="254"/>
      <c r="X30" s="254"/>
      <c r="Y30" s="254"/>
      <c r="Z30" s="254"/>
      <c r="AA30" s="254"/>
      <c r="AB30" s="254"/>
      <c r="AC30" s="254"/>
      <c r="AD30" s="254"/>
      <c r="AE30" s="254"/>
      <c r="AF30" s="254"/>
      <c r="AG30" s="254"/>
      <c r="AH30" s="254"/>
      <c r="AI30" s="254"/>
      <c r="AJ30" s="254"/>
      <c r="AK30" s="254"/>
      <c r="AL30" s="254"/>
      <c r="AM30" s="254"/>
      <c r="AN30" s="254"/>
      <c r="AO30" s="254"/>
      <c r="AP30" s="254"/>
      <c r="AQ30" s="254"/>
      <c r="AR30" s="254"/>
      <c r="AS30" s="259"/>
    </row>
    <row r="31" spans="1:45" s="232" customFormat="1" ht="15" customHeight="1" x14ac:dyDescent="0.2">
      <c r="A31" s="229" t="s">
        <v>533</v>
      </c>
      <c r="B31" s="283">
        <v>-1706</v>
      </c>
      <c r="C31" s="283">
        <v>-1601</v>
      </c>
      <c r="D31" s="283">
        <v>-1576</v>
      </c>
      <c r="E31" s="283">
        <v>-1382</v>
      </c>
      <c r="F31" s="283">
        <v>-1512</v>
      </c>
      <c r="G31" s="283">
        <v>-1679</v>
      </c>
      <c r="H31" s="283">
        <v>-1906</v>
      </c>
      <c r="I31" s="283">
        <v>-2096</v>
      </c>
      <c r="J31" s="284">
        <v>-2164</v>
      </c>
      <c r="K31" s="284">
        <v>-2392</v>
      </c>
      <c r="L31" s="284">
        <v>-2599</v>
      </c>
      <c r="M31" s="284">
        <v>-2946</v>
      </c>
      <c r="N31" s="284">
        <v>-3151</v>
      </c>
      <c r="O31" s="284">
        <v>-3263</v>
      </c>
      <c r="P31" s="284">
        <v>-3431</v>
      </c>
      <c r="Q31" s="284">
        <v>-3669</v>
      </c>
      <c r="R31" s="284">
        <v>-4146</v>
      </c>
      <c r="S31" s="284">
        <v>-4440</v>
      </c>
      <c r="T31" s="284">
        <v>-4899</v>
      </c>
      <c r="U31" s="284">
        <v>-5039</v>
      </c>
      <c r="V31" s="284">
        <v>-5272</v>
      </c>
      <c r="W31" s="284">
        <v>-5380</v>
      </c>
      <c r="X31" s="284">
        <v>-5724</v>
      </c>
      <c r="Y31" s="284">
        <v>-6084</v>
      </c>
      <c r="Z31" s="284">
        <v>-6130</v>
      </c>
      <c r="AA31" s="284">
        <v>-6272</v>
      </c>
      <c r="AB31" s="284">
        <v>-6804</v>
      </c>
      <c r="AC31" s="284">
        <v>-7364</v>
      </c>
      <c r="AD31" s="284">
        <v>-8132</v>
      </c>
      <c r="AE31" s="284">
        <v>-8585</v>
      </c>
      <c r="AF31" s="284">
        <v>-8847</v>
      </c>
      <c r="AG31" s="284">
        <v>-9218</v>
      </c>
      <c r="AH31" s="284">
        <v>-9691</v>
      </c>
      <c r="AI31" s="284">
        <v>-10660</v>
      </c>
      <c r="AJ31" s="284">
        <v>-11020</v>
      </c>
      <c r="AK31" s="284">
        <v>-11353</v>
      </c>
      <c r="AL31" s="284">
        <v>-11348</v>
      </c>
      <c r="AM31" s="284">
        <v>-11385</v>
      </c>
      <c r="AN31" s="284">
        <v>-12020</v>
      </c>
      <c r="AO31" s="284">
        <v>-12604</v>
      </c>
      <c r="AP31" s="284">
        <v>-13193</v>
      </c>
      <c r="AQ31" s="284">
        <v>-13447</v>
      </c>
      <c r="AR31" s="284">
        <v>-13978</v>
      </c>
      <c r="AS31" s="423">
        <v>-13693</v>
      </c>
    </row>
    <row r="32" spans="1:45" s="228" customFormat="1" ht="5.0999999999999996" customHeight="1" x14ac:dyDescent="0.2">
      <c r="A32" s="226"/>
      <c r="B32" s="277"/>
      <c r="C32" s="277"/>
      <c r="D32" s="277"/>
      <c r="E32" s="277"/>
      <c r="F32" s="277"/>
      <c r="G32" s="277"/>
      <c r="H32" s="277"/>
      <c r="I32" s="277"/>
      <c r="J32" s="254"/>
      <c r="K32" s="254"/>
      <c r="L32" s="254"/>
      <c r="M32" s="254"/>
      <c r="N32" s="254"/>
      <c r="O32" s="254"/>
      <c r="P32" s="254"/>
      <c r="Q32" s="254"/>
      <c r="R32" s="254"/>
      <c r="S32" s="254"/>
      <c r="T32" s="254"/>
      <c r="U32" s="254"/>
      <c r="V32" s="254"/>
      <c r="W32" s="254"/>
      <c r="X32" s="254"/>
      <c r="Y32" s="254"/>
      <c r="Z32" s="254"/>
      <c r="AA32" s="254"/>
      <c r="AB32" s="254"/>
      <c r="AC32" s="254"/>
      <c r="AD32" s="254"/>
      <c r="AE32" s="254"/>
      <c r="AF32" s="254"/>
      <c r="AG32" s="254"/>
      <c r="AH32" s="254"/>
      <c r="AI32" s="254"/>
      <c r="AJ32" s="254"/>
      <c r="AK32" s="254"/>
      <c r="AL32" s="254"/>
      <c r="AM32" s="254"/>
      <c r="AN32" s="254"/>
      <c r="AO32" s="254"/>
      <c r="AP32" s="254"/>
      <c r="AQ32" s="254"/>
      <c r="AR32" s="254"/>
      <c r="AS32" s="254"/>
    </row>
    <row r="33" spans="1:121" s="389" customFormat="1" ht="15" customHeight="1" thickBot="1" x14ac:dyDescent="0.25">
      <c r="A33" s="387" t="s">
        <v>640</v>
      </c>
      <c r="B33" s="386">
        <f t="shared" ref="B33:AC33" si="5">B16+B18+B25+B27+B29+B31</f>
        <v>27730</v>
      </c>
      <c r="C33" s="386">
        <f t="shared" si="5"/>
        <v>28771</v>
      </c>
      <c r="D33" s="386">
        <f t="shared" si="5"/>
        <v>29706</v>
      </c>
      <c r="E33" s="386">
        <f t="shared" si="5"/>
        <v>31027</v>
      </c>
      <c r="F33" s="386">
        <f t="shared" si="5"/>
        <v>32387</v>
      </c>
      <c r="G33" s="386">
        <f t="shared" si="5"/>
        <v>33566</v>
      </c>
      <c r="H33" s="386">
        <f t="shared" si="5"/>
        <v>34443</v>
      </c>
      <c r="I33" s="386">
        <f t="shared" si="5"/>
        <v>34974</v>
      </c>
      <c r="J33" s="386">
        <f t="shared" si="5"/>
        <v>36523</v>
      </c>
      <c r="K33" s="386">
        <f t="shared" si="5"/>
        <v>38278</v>
      </c>
      <c r="L33" s="386">
        <f t="shared" si="5"/>
        <v>39854</v>
      </c>
      <c r="M33" s="386">
        <f t="shared" si="5"/>
        <v>41544</v>
      </c>
      <c r="N33" s="386">
        <f t="shared" si="5"/>
        <v>42450</v>
      </c>
      <c r="O33" s="386">
        <f t="shared" si="5"/>
        <v>43413</v>
      </c>
      <c r="P33" s="386">
        <f t="shared" si="5"/>
        <v>44889</v>
      </c>
      <c r="Q33" s="386">
        <f t="shared" si="5"/>
        <v>46945</v>
      </c>
      <c r="R33" s="386">
        <f t="shared" si="5"/>
        <v>48839</v>
      </c>
      <c r="S33" s="386">
        <f t="shared" si="5"/>
        <v>50584</v>
      </c>
      <c r="T33" s="386">
        <f t="shared" si="5"/>
        <v>52835</v>
      </c>
      <c r="U33" s="386">
        <f t="shared" si="5"/>
        <v>54657</v>
      </c>
      <c r="V33" s="386">
        <f t="shared" si="5"/>
        <v>56622</v>
      </c>
      <c r="W33" s="386">
        <f t="shared" si="5"/>
        <v>58612</v>
      </c>
      <c r="X33" s="386">
        <f t="shared" si="5"/>
        <v>59921</v>
      </c>
      <c r="Y33" s="386">
        <f t="shared" si="5"/>
        <v>61053</v>
      </c>
      <c r="Z33" s="386">
        <f t="shared" si="5"/>
        <v>61612</v>
      </c>
      <c r="AA33" s="386">
        <f t="shared" si="5"/>
        <v>61823</v>
      </c>
      <c r="AB33" s="386">
        <f t="shared" si="5"/>
        <v>62024</v>
      </c>
      <c r="AC33" s="386">
        <f t="shared" si="5"/>
        <v>62843</v>
      </c>
      <c r="AD33" s="386">
        <v>63700</v>
      </c>
      <c r="AE33" s="386">
        <f t="shared" ref="AE33:AL33" si="6">AE16+AE18+AE25+AE27+AE29+AE31</f>
        <v>65603</v>
      </c>
      <c r="AF33" s="386">
        <f t="shared" si="6"/>
        <v>67811</v>
      </c>
      <c r="AG33" s="386">
        <f t="shared" si="6"/>
        <v>70223</v>
      </c>
      <c r="AH33" s="386">
        <f t="shared" si="6"/>
        <v>72695</v>
      </c>
      <c r="AI33" s="386">
        <f t="shared" si="6"/>
        <v>74726</v>
      </c>
      <c r="AJ33" s="386">
        <f t="shared" si="6"/>
        <v>76864</v>
      </c>
      <c r="AK33" s="386">
        <f t="shared" si="6"/>
        <v>79088</v>
      </c>
      <c r="AL33" s="386">
        <f t="shared" si="6"/>
        <v>81760</v>
      </c>
      <c r="AM33" s="386">
        <f t="shared" ref="AM33:AN33" si="7">AM16+AM18+AM25+AM27+AM29+AM31</f>
        <v>83040</v>
      </c>
      <c r="AN33" s="386">
        <f t="shared" si="7"/>
        <v>87151</v>
      </c>
      <c r="AO33" s="386">
        <v>90614</v>
      </c>
      <c r="AP33" s="386">
        <v>92639</v>
      </c>
      <c r="AQ33" s="386">
        <v>95407</v>
      </c>
      <c r="AR33" s="386">
        <v>94403</v>
      </c>
      <c r="AS33" s="386">
        <f t="shared" ref="AS33" si="8">AS16+AS18+AS25+AS27+AS29+AS31</f>
        <v>93654</v>
      </c>
      <c r="AT33" s="388"/>
      <c r="AU33" s="388"/>
      <c r="AV33" s="388"/>
      <c r="AW33" s="388"/>
      <c r="AX33" s="388"/>
      <c r="AY33" s="388"/>
      <c r="AZ33" s="388"/>
      <c r="BA33" s="388"/>
      <c r="BB33" s="388"/>
      <c r="BC33" s="388"/>
      <c r="BD33" s="388"/>
      <c r="BE33" s="388"/>
      <c r="BF33" s="388"/>
      <c r="BG33" s="388"/>
      <c r="BH33" s="388"/>
      <c r="BI33" s="388"/>
      <c r="BJ33" s="388"/>
      <c r="BK33" s="388"/>
      <c r="BL33" s="388"/>
      <c r="BM33" s="388"/>
      <c r="BN33" s="388"/>
      <c r="BO33" s="388"/>
      <c r="BP33" s="388"/>
      <c r="BQ33" s="388"/>
      <c r="BR33" s="388"/>
      <c r="BS33" s="388"/>
      <c r="BT33" s="388"/>
      <c r="BU33" s="388"/>
      <c r="BV33" s="388"/>
      <c r="BW33" s="388"/>
      <c r="BX33" s="388"/>
      <c r="BY33" s="388"/>
      <c r="BZ33" s="388"/>
      <c r="CA33" s="388"/>
      <c r="CB33" s="388"/>
      <c r="CC33" s="388"/>
      <c r="CD33" s="388"/>
      <c r="CE33" s="388"/>
      <c r="CF33" s="388"/>
      <c r="CG33" s="388"/>
      <c r="CH33" s="388"/>
      <c r="CI33" s="388"/>
      <c r="CJ33" s="388"/>
      <c r="CK33" s="388"/>
      <c r="CL33" s="388"/>
      <c r="CM33" s="388"/>
      <c r="CN33" s="388"/>
      <c r="CO33" s="388"/>
      <c r="CP33" s="388"/>
      <c r="CQ33" s="388"/>
      <c r="CR33" s="388"/>
      <c r="CS33" s="388"/>
      <c r="CT33" s="388"/>
      <c r="CU33" s="388"/>
      <c r="CV33" s="388"/>
      <c r="CW33" s="388"/>
      <c r="CX33" s="388"/>
      <c r="CY33" s="388"/>
      <c r="CZ33" s="388"/>
      <c r="DA33" s="388"/>
      <c r="DB33" s="388"/>
      <c r="DC33" s="388"/>
      <c r="DD33" s="388"/>
      <c r="DE33" s="388"/>
      <c r="DF33" s="388"/>
      <c r="DG33" s="388"/>
      <c r="DH33" s="388"/>
      <c r="DI33" s="388"/>
      <c r="DJ33" s="388"/>
      <c r="DK33" s="388"/>
      <c r="DL33" s="388"/>
      <c r="DM33" s="388"/>
      <c r="DN33" s="388"/>
      <c r="DO33" s="388"/>
      <c r="DP33" s="388"/>
      <c r="DQ33" s="388"/>
    </row>
    <row r="34" spans="1:121" s="287" customFormat="1" ht="5.0999999999999996" customHeight="1" thickTop="1" x14ac:dyDescent="0.2">
      <c r="A34" s="564"/>
      <c r="B34" s="286"/>
      <c r="C34" s="286"/>
      <c r="D34" s="286"/>
      <c r="E34" s="286"/>
      <c r="F34" s="286"/>
      <c r="G34" s="286"/>
      <c r="H34" s="286"/>
      <c r="I34" s="286"/>
      <c r="J34" s="286"/>
      <c r="K34" s="286"/>
      <c r="L34" s="286"/>
      <c r="M34" s="286"/>
      <c r="N34" s="286"/>
      <c r="O34" s="286"/>
      <c r="P34" s="286"/>
      <c r="Q34" s="286"/>
      <c r="R34" s="286"/>
      <c r="S34" s="286"/>
      <c r="T34" s="286"/>
      <c r="U34" s="286"/>
      <c r="V34" s="286"/>
      <c r="W34" s="286"/>
      <c r="X34" s="286"/>
      <c r="Y34" s="286"/>
      <c r="Z34" s="286"/>
      <c r="AA34" s="286"/>
      <c r="AB34" s="286"/>
      <c r="AC34" s="286"/>
      <c r="AD34" s="286"/>
      <c r="AE34" s="286"/>
      <c r="AF34" s="286"/>
      <c r="AG34" s="286"/>
      <c r="AH34" s="286"/>
      <c r="AI34" s="286"/>
      <c r="AJ34" s="286"/>
      <c r="AK34" s="286"/>
      <c r="AL34" s="286"/>
      <c r="AM34" s="286"/>
      <c r="AN34" s="286"/>
      <c r="AO34" s="286"/>
      <c r="AP34" s="286"/>
      <c r="AQ34" s="286"/>
      <c r="AR34" s="286"/>
      <c r="AS34" s="286"/>
      <c r="AT34" s="286"/>
      <c r="AU34" s="286"/>
      <c r="AV34" s="286"/>
      <c r="AW34" s="286"/>
      <c r="AX34" s="286"/>
      <c r="AY34" s="286"/>
      <c r="AZ34" s="286"/>
      <c r="BA34" s="286"/>
      <c r="BB34" s="286"/>
      <c r="BC34" s="286"/>
      <c r="BD34" s="286"/>
      <c r="BE34" s="286"/>
      <c r="BF34" s="286"/>
      <c r="BG34" s="286"/>
      <c r="BH34" s="286"/>
      <c r="BI34" s="286"/>
      <c r="BJ34" s="286"/>
      <c r="BK34" s="286"/>
      <c r="BL34" s="286"/>
      <c r="BM34" s="286"/>
      <c r="BN34" s="286"/>
      <c r="BO34" s="286"/>
      <c r="BP34" s="286"/>
      <c r="BQ34" s="286"/>
      <c r="BR34" s="286"/>
      <c r="BS34" s="286"/>
      <c r="BT34" s="286"/>
      <c r="BU34" s="286"/>
      <c r="BV34" s="286"/>
      <c r="BW34" s="286"/>
      <c r="BX34" s="286"/>
      <c r="BY34" s="286"/>
      <c r="BZ34" s="286"/>
      <c r="CA34" s="286"/>
      <c r="CB34" s="286"/>
      <c r="CC34" s="286"/>
      <c r="CD34" s="286"/>
      <c r="CE34" s="286"/>
      <c r="CF34" s="286"/>
      <c r="CG34" s="286"/>
      <c r="CH34" s="286"/>
      <c r="CI34" s="286"/>
      <c r="CJ34" s="286"/>
      <c r="CK34" s="286"/>
      <c r="CL34" s="286"/>
      <c r="CM34" s="286"/>
      <c r="CN34" s="286"/>
      <c r="CO34" s="286"/>
      <c r="CP34" s="286"/>
      <c r="CQ34" s="286"/>
      <c r="CR34" s="286"/>
      <c r="CS34" s="286"/>
      <c r="CT34" s="286"/>
      <c r="CU34" s="286"/>
      <c r="CV34" s="286"/>
      <c r="CW34" s="286"/>
      <c r="CX34" s="286"/>
      <c r="CY34" s="286"/>
      <c r="CZ34" s="286"/>
      <c r="DA34" s="286"/>
      <c r="DB34" s="286"/>
      <c r="DC34" s="286"/>
      <c r="DD34" s="286"/>
      <c r="DE34" s="286"/>
      <c r="DF34" s="286"/>
      <c r="DG34" s="286"/>
      <c r="DH34" s="286"/>
      <c r="DI34" s="286"/>
      <c r="DJ34" s="286"/>
      <c r="DK34" s="286"/>
      <c r="DL34" s="286"/>
      <c r="DM34" s="286"/>
      <c r="DN34" s="286"/>
      <c r="DO34" s="286"/>
      <c r="DP34" s="286"/>
      <c r="DQ34" s="286"/>
    </row>
    <row r="35" spans="1:121" s="389" customFormat="1" ht="15" customHeight="1" thickBot="1" x14ac:dyDescent="0.25">
      <c r="A35" s="387" t="s">
        <v>677</v>
      </c>
      <c r="B35" s="285">
        <v>43.184276956364947</v>
      </c>
      <c r="C35" s="285">
        <v>43.164992527197526</v>
      </c>
      <c r="D35" s="285">
        <v>43.038443412105295</v>
      </c>
      <c r="E35" s="285">
        <v>43.104392948077482</v>
      </c>
      <c r="F35" s="285">
        <v>42.930805570136165</v>
      </c>
      <c r="G35" s="285">
        <v>42.578799976166358</v>
      </c>
      <c r="H35" s="285">
        <v>42.981157274337313</v>
      </c>
      <c r="I35" s="285">
        <v>43.332189626579741</v>
      </c>
      <c r="J35" s="285">
        <v>42.515675054075516</v>
      </c>
      <c r="K35" s="285">
        <v>41.527770520925863</v>
      </c>
      <c r="L35" s="285">
        <v>40.85411752898078</v>
      </c>
      <c r="M35" s="285">
        <v>40.470344694781431</v>
      </c>
      <c r="N35" s="285">
        <v>41.196702002355714</v>
      </c>
      <c r="O35" s="285">
        <v>42</v>
      </c>
      <c r="P35" s="285">
        <v>42.518211588585174</v>
      </c>
      <c r="Q35" s="285">
        <v>42.656299925444671</v>
      </c>
      <c r="R35" s="285">
        <v>42.731913020332115</v>
      </c>
      <c r="S35" s="285">
        <v>42.730903052348566</v>
      </c>
      <c r="T35" s="285">
        <v>42.717895334532038</v>
      </c>
      <c r="U35" s="285">
        <v>43</v>
      </c>
      <c r="V35" s="285">
        <v>42.714845819646072</v>
      </c>
      <c r="W35" s="285">
        <v>42.375281512318296</v>
      </c>
      <c r="X35" s="285">
        <v>42.077068139717291</v>
      </c>
      <c r="Y35" s="285">
        <v>41.46724976659624</v>
      </c>
      <c r="Z35" s="285">
        <v>41.483801856781142</v>
      </c>
      <c r="AA35" s="285">
        <v>41.80159487569351</v>
      </c>
      <c r="AB35" s="285">
        <v>42.106281439442796</v>
      </c>
      <c r="AC35" s="285">
        <v>42.103336887163252</v>
      </c>
      <c r="AD35" s="285">
        <v>41.877551020408163</v>
      </c>
      <c r="AE35" s="285">
        <v>40.94934682865113</v>
      </c>
      <c r="AF35" s="285">
        <v>39.856365486425503</v>
      </c>
      <c r="AG35" s="285">
        <v>39.243552682169657</v>
      </c>
      <c r="AH35" s="285">
        <v>38.292867459935351</v>
      </c>
      <c r="AI35" s="285">
        <v>37.94529347215159</v>
      </c>
      <c r="AJ35" s="285">
        <v>37.92022273105745</v>
      </c>
      <c r="AK35" s="285">
        <v>37.549312158608132</v>
      </c>
      <c r="AL35" s="285">
        <v>37.240489236790609</v>
      </c>
      <c r="AM35" s="285">
        <v>37.363554913294799</v>
      </c>
      <c r="AN35" s="285">
        <v>38.1720059437069</v>
      </c>
      <c r="AO35" s="285">
        <v>38.9</v>
      </c>
      <c r="AP35" s="285">
        <v>40</v>
      </c>
      <c r="AQ35" s="285">
        <v>40.604999999999997</v>
      </c>
      <c r="AR35" s="285">
        <v>40.702100000000002</v>
      </c>
      <c r="AS35" s="285">
        <f>ROUND((AS14/AS33*100),4)</f>
        <v>40.761699999999998</v>
      </c>
      <c r="AT35" s="388"/>
      <c r="AU35" s="388"/>
      <c r="AV35" s="388"/>
      <c r="AW35" s="388"/>
      <c r="AX35" s="388"/>
      <c r="AY35" s="388"/>
      <c r="AZ35" s="388"/>
      <c r="BA35" s="388"/>
      <c r="BB35" s="388"/>
      <c r="BC35" s="388"/>
      <c r="BD35" s="388"/>
      <c r="BE35" s="388"/>
      <c r="BF35" s="388"/>
      <c r="BG35" s="388"/>
      <c r="BH35" s="388"/>
      <c r="BI35" s="388"/>
      <c r="BJ35" s="388"/>
      <c r="BK35" s="388"/>
      <c r="BL35" s="388"/>
      <c r="BM35" s="388"/>
      <c r="BN35" s="388"/>
      <c r="BO35" s="388"/>
      <c r="BP35" s="388"/>
      <c r="BQ35" s="388"/>
      <c r="BR35" s="388"/>
      <c r="BS35" s="388"/>
      <c r="BT35" s="388"/>
      <c r="BU35" s="388"/>
      <c r="BV35" s="388"/>
      <c r="BW35" s="388"/>
      <c r="BX35" s="388"/>
      <c r="BY35" s="388"/>
      <c r="BZ35" s="388"/>
      <c r="CA35" s="388"/>
      <c r="CB35" s="388"/>
      <c r="CC35" s="388"/>
      <c r="CD35" s="388"/>
      <c r="CE35" s="388"/>
      <c r="CF35" s="388"/>
      <c r="CG35" s="388"/>
      <c r="CH35" s="388"/>
      <c r="CI35" s="388"/>
      <c r="CJ35" s="388"/>
      <c r="CK35" s="388"/>
      <c r="CL35" s="388"/>
      <c r="CM35" s="388"/>
      <c r="CN35" s="388"/>
      <c r="CO35" s="388"/>
      <c r="CP35" s="388"/>
      <c r="CQ35" s="388"/>
      <c r="CR35" s="388"/>
      <c r="CS35" s="388"/>
      <c r="CT35" s="388"/>
      <c r="CU35" s="388"/>
      <c r="CV35" s="388"/>
      <c r="CW35" s="388"/>
      <c r="CX35" s="388"/>
      <c r="CY35" s="388"/>
      <c r="CZ35" s="388"/>
      <c r="DA35" s="388"/>
      <c r="DB35" s="388"/>
      <c r="DC35" s="388"/>
      <c r="DD35" s="388"/>
      <c r="DE35" s="388"/>
      <c r="DF35" s="388"/>
      <c r="DG35" s="388"/>
      <c r="DH35" s="388"/>
      <c r="DI35" s="388"/>
      <c r="DJ35" s="388"/>
      <c r="DK35" s="388"/>
      <c r="DL35" s="388"/>
      <c r="DM35" s="388"/>
      <c r="DN35" s="388"/>
      <c r="DO35" s="388"/>
      <c r="DP35" s="388"/>
      <c r="DQ35" s="388"/>
    </row>
    <row r="36" spans="1:121" s="13" customFormat="1" ht="15" customHeight="1" thickTop="1" x14ac:dyDescent="0.2">
      <c r="A36" s="663" t="s">
        <v>676</v>
      </c>
      <c r="B36" s="15"/>
      <c r="C36" s="15"/>
      <c r="D36" s="15"/>
      <c r="E36" s="15"/>
      <c r="F36" s="10"/>
      <c r="G36" s="10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</row>
    <row r="37" spans="1:121" s="13" customFormat="1" ht="15" customHeight="1" x14ac:dyDescent="0.2">
      <c r="A37" s="15"/>
      <c r="B37" s="15"/>
      <c r="C37" s="15"/>
      <c r="D37" s="15"/>
      <c r="E37" s="15"/>
      <c r="F37" s="10"/>
      <c r="G37" s="10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</row>
    <row r="38" spans="1:121" s="13" customFormat="1" ht="15" customHeight="1" x14ac:dyDescent="0.2">
      <c r="A38" s="15"/>
      <c r="B38" s="15"/>
      <c r="C38" s="15"/>
      <c r="D38" s="15"/>
      <c r="E38" s="15"/>
      <c r="F38" s="10"/>
      <c r="G38" s="10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</row>
    <row r="39" spans="1:121" s="13" customFormat="1" ht="15" customHeight="1" x14ac:dyDescent="0.2">
      <c r="F39" s="74"/>
      <c r="G39" s="74"/>
    </row>
    <row r="40" spans="1:121" s="13" customFormat="1" ht="15" customHeight="1" x14ac:dyDescent="0.2">
      <c r="F40" s="74"/>
      <c r="G40" s="74"/>
      <c r="AG40" s="76"/>
      <c r="AH40" s="76"/>
      <c r="AI40" s="76"/>
      <c r="AJ40" s="76"/>
      <c r="AK40" s="76"/>
      <c r="AL40" s="76"/>
      <c r="AM40" s="76"/>
    </row>
    <row r="41" spans="1:121" s="13" customFormat="1" ht="15" customHeight="1" x14ac:dyDescent="0.2">
      <c r="F41" s="74"/>
      <c r="G41" s="74"/>
    </row>
    <row r="42" spans="1:121" s="13" customFormat="1" ht="15" customHeight="1" x14ac:dyDescent="0.2">
      <c r="F42" s="74"/>
      <c r="G42" s="74"/>
    </row>
    <row r="43" spans="1:121" s="13" customFormat="1" ht="15" customHeight="1" x14ac:dyDescent="0.2">
      <c r="F43" s="74"/>
      <c r="G43" s="74"/>
    </row>
    <row r="44" spans="1:121" s="13" customFormat="1" ht="15" customHeight="1" x14ac:dyDescent="0.2">
      <c r="AF44" s="74"/>
      <c r="AG44" s="74"/>
    </row>
    <row r="45" spans="1:121" s="13" customFormat="1" ht="15" customHeight="1" x14ac:dyDescent="0.2">
      <c r="AD45" s="74"/>
      <c r="AE45" s="74"/>
    </row>
    <row r="46" spans="1:121" s="13" customFormat="1" ht="15" customHeight="1" x14ac:dyDescent="0.2">
      <c r="AD46" s="74"/>
      <c r="AE46" s="74"/>
    </row>
    <row r="47" spans="1:121" s="13" customFormat="1" ht="15" customHeight="1" x14ac:dyDescent="0.2">
      <c r="AD47" s="74"/>
      <c r="AE47" s="74"/>
    </row>
    <row r="48" spans="1:121" s="13" customFormat="1" ht="15" customHeight="1" x14ac:dyDescent="0.2">
      <c r="AD48" s="74"/>
      <c r="AE48" s="74"/>
    </row>
    <row r="49" spans="30:31" s="13" customFormat="1" ht="15" customHeight="1" x14ac:dyDescent="0.2">
      <c r="AD49" s="74"/>
      <c r="AE49" s="74"/>
    </row>
    <row r="50" spans="30:31" s="13" customFormat="1" ht="15" customHeight="1" x14ac:dyDescent="0.2">
      <c r="AD50" s="74"/>
      <c r="AE50" s="74"/>
    </row>
    <row r="51" spans="30:31" s="13" customFormat="1" ht="15" customHeight="1" x14ac:dyDescent="0.2">
      <c r="AD51" s="74"/>
      <c r="AE51" s="74"/>
    </row>
    <row r="52" spans="30:31" s="13" customFormat="1" ht="15" customHeight="1" x14ac:dyDescent="0.2">
      <c r="AD52" s="74"/>
      <c r="AE52" s="74"/>
    </row>
    <row r="53" spans="30:31" s="13" customFormat="1" ht="15" customHeight="1" x14ac:dyDescent="0.2">
      <c r="AD53" s="74"/>
      <c r="AE53" s="74"/>
    </row>
    <row r="54" spans="30:31" s="13" customFormat="1" ht="15" customHeight="1" x14ac:dyDescent="0.2">
      <c r="AD54" s="74"/>
      <c r="AE54" s="74"/>
    </row>
    <row r="55" spans="30:31" s="13" customFormat="1" ht="15" customHeight="1" x14ac:dyDescent="0.2">
      <c r="AD55" s="74"/>
      <c r="AE55" s="74"/>
    </row>
    <row r="56" spans="30:31" s="13" customFormat="1" ht="15" customHeight="1" x14ac:dyDescent="0.2">
      <c r="AD56" s="74"/>
      <c r="AE56" s="74"/>
    </row>
    <row r="57" spans="30:31" s="13" customFormat="1" ht="15" customHeight="1" x14ac:dyDescent="0.2">
      <c r="AD57" s="74"/>
      <c r="AE57" s="74"/>
    </row>
    <row r="58" spans="30:31" s="13" customFormat="1" ht="15" customHeight="1" x14ac:dyDescent="0.2">
      <c r="AD58" s="74"/>
      <c r="AE58" s="74"/>
    </row>
    <row r="59" spans="30:31" s="13" customFormat="1" ht="15" customHeight="1" x14ac:dyDescent="0.2">
      <c r="AD59" s="74"/>
      <c r="AE59" s="74"/>
    </row>
    <row r="60" spans="30:31" s="13" customFormat="1" ht="15" customHeight="1" x14ac:dyDescent="0.2">
      <c r="AD60" s="74"/>
      <c r="AE60" s="74"/>
    </row>
    <row r="61" spans="30:31" s="13" customFormat="1" ht="15" customHeight="1" x14ac:dyDescent="0.2">
      <c r="AD61" s="74"/>
      <c r="AE61" s="74"/>
    </row>
    <row r="62" spans="30:31" s="13" customFormat="1" ht="15" customHeight="1" x14ac:dyDescent="0.2">
      <c r="AD62" s="74"/>
      <c r="AE62" s="74"/>
    </row>
    <row r="63" spans="30:31" s="13" customFormat="1" ht="15" customHeight="1" x14ac:dyDescent="0.2">
      <c r="AD63" s="74"/>
      <c r="AE63" s="74"/>
    </row>
    <row r="64" spans="30:31" s="13" customFormat="1" ht="15" customHeight="1" x14ac:dyDescent="0.2">
      <c r="AD64" s="74"/>
      <c r="AE64" s="74"/>
    </row>
    <row r="65" spans="30:31" s="13" customFormat="1" ht="15" customHeight="1" x14ac:dyDescent="0.2">
      <c r="AD65" s="74"/>
      <c r="AE65" s="74"/>
    </row>
    <row r="66" spans="30:31" s="13" customFormat="1" ht="15" customHeight="1" x14ac:dyDescent="0.2">
      <c r="AD66" s="74"/>
      <c r="AE66" s="74"/>
    </row>
    <row r="67" spans="30:31" s="13" customFormat="1" ht="15" customHeight="1" x14ac:dyDescent="0.2">
      <c r="AD67" s="74"/>
      <c r="AE67" s="74"/>
    </row>
    <row r="68" spans="30:31" s="13" customFormat="1" ht="15" customHeight="1" x14ac:dyDescent="0.2">
      <c r="AD68" s="74"/>
      <c r="AE68" s="74"/>
    </row>
    <row r="69" spans="30:31" s="13" customFormat="1" ht="15" customHeight="1" x14ac:dyDescent="0.2">
      <c r="AD69" s="74"/>
      <c r="AE69" s="74"/>
    </row>
    <row r="70" spans="30:31" s="13" customFormat="1" ht="15" customHeight="1" x14ac:dyDescent="0.2">
      <c r="AD70" s="74"/>
      <c r="AE70" s="74"/>
    </row>
    <row r="71" spans="30:31" s="13" customFormat="1" ht="15" customHeight="1" x14ac:dyDescent="0.2">
      <c r="AD71" s="74"/>
      <c r="AE71" s="74"/>
    </row>
    <row r="72" spans="30:31" s="13" customFormat="1" ht="15" customHeight="1" x14ac:dyDescent="0.2">
      <c r="AD72" s="74"/>
      <c r="AE72" s="74"/>
    </row>
    <row r="73" spans="30:31" s="13" customFormat="1" ht="15" customHeight="1" x14ac:dyDescent="0.2">
      <c r="AD73" s="74"/>
      <c r="AE73" s="74"/>
    </row>
    <row r="74" spans="30:31" s="13" customFormat="1" ht="15" customHeight="1" x14ac:dyDescent="0.2">
      <c r="AD74" s="74"/>
      <c r="AE74" s="74"/>
    </row>
    <row r="75" spans="30:31" s="13" customFormat="1" ht="15" customHeight="1" x14ac:dyDescent="0.2">
      <c r="AD75" s="74"/>
      <c r="AE75" s="74"/>
    </row>
    <row r="76" spans="30:31" s="13" customFormat="1" ht="15" customHeight="1" x14ac:dyDescent="0.2">
      <c r="AD76" s="74"/>
      <c r="AE76" s="74"/>
    </row>
    <row r="77" spans="30:31" s="13" customFormat="1" ht="15" customHeight="1" x14ac:dyDescent="0.2">
      <c r="AD77" s="74"/>
      <c r="AE77" s="74"/>
    </row>
    <row r="78" spans="30:31" s="13" customFormat="1" ht="15" customHeight="1" x14ac:dyDescent="0.2">
      <c r="AD78" s="74"/>
      <c r="AE78" s="74"/>
    </row>
    <row r="79" spans="30:31" s="13" customFormat="1" ht="15" customHeight="1" x14ac:dyDescent="0.2">
      <c r="AD79" s="74"/>
      <c r="AE79" s="74"/>
    </row>
    <row r="80" spans="30:31" s="13" customFormat="1" ht="15" customHeight="1" x14ac:dyDescent="0.2">
      <c r="AD80" s="74"/>
      <c r="AE80" s="74"/>
    </row>
    <row r="81" spans="30:31" s="13" customFormat="1" ht="15" customHeight="1" x14ac:dyDescent="0.2">
      <c r="AD81" s="74"/>
      <c r="AE81" s="74"/>
    </row>
    <row r="82" spans="30:31" s="13" customFormat="1" ht="15" customHeight="1" x14ac:dyDescent="0.2">
      <c r="AD82" s="74"/>
      <c r="AE82" s="74"/>
    </row>
    <row r="83" spans="30:31" s="13" customFormat="1" ht="15" customHeight="1" x14ac:dyDescent="0.2">
      <c r="AD83" s="74"/>
      <c r="AE83" s="74"/>
    </row>
    <row r="84" spans="30:31" s="13" customFormat="1" ht="15" customHeight="1" x14ac:dyDescent="0.2">
      <c r="AD84" s="74"/>
      <c r="AE84" s="74"/>
    </row>
    <row r="85" spans="30:31" s="13" customFormat="1" ht="15" customHeight="1" x14ac:dyDescent="0.2">
      <c r="AD85" s="74"/>
      <c r="AE85" s="74"/>
    </row>
    <row r="86" spans="30:31" s="13" customFormat="1" ht="15" customHeight="1" x14ac:dyDescent="0.2">
      <c r="AD86" s="74"/>
      <c r="AE86" s="74"/>
    </row>
    <row r="87" spans="30:31" s="13" customFormat="1" ht="15" customHeight="1" x14ac:dyDescent="0.2">
      <c r="AD87" s="74"/>
      <c r="AE87" s="74"/>
    </row>
    <row r="88" spans="30:31" s="13" customFormat="1" ht="15" customHeight="1" x14ac:dyDescent="0.2">
      <c r="AD88" s="74"/>
      <c r="AE88" s="74"/>
    </row>
    <row r="89" spans="30:31" s="13" customFormat="1" ht="15" customHeight="1" x14ac:dyDescent="0.2">
      <c r="AD89" s="74"/>
      <c r="AE89" s="74"/>
    </row>
    <row r="90" spans="30:31" s="13" customFormat="1" ht="15" customHeight="1" x14ac:dyDescent="0.2">
      <c r="AD90" s="74"/>
      <c r="AE90" s="74"/>
    </row>
    <row r="91" spans="30:31" s="13" customFormat="1" ht="15" customHeight="1" x14ac:dyDescent="0.2">
      <c r="AD91" s="74"/>
      <c r="AE91" s="74"/>
    </row>
    <row r="92" spans="30:31" s="13" customFormat="1" ht="15" customHeight="1" x14ac:dyDescent="0.2">
      <c r="AD92" s="74"/>
      <c r="AE92" s="74"/>
    </row>
    <row r="93" spans="30:31" s="13" customFormat="1" ht="15" customHeight="1" x14ac:dyDescent="0.2">
      <c r="AD93" s="74"/>
      <c r="AE93" s="74"/>
    </row>
    <row r="94" spans="30:31" s="13" customFormat="1" ht="15" customHeight="1" x14ac:dyDescent="0.2">
      <c r="AD94" s="74"/>
      <c r="AE94" s="74"/>
    </row>
    <row r="95" spans="30:31" s="13" customFormat="1" ht="15" customHeight="1" x14ac:dyDescent="0.2">
      <c r="AD95" s="74"/>
      <c r="AE95" s="74"/>
    </row>
    <row r="96" spans="30:31" s="13" customFormat="1" ht="15" customHeight="1" x14ac:dyDescent="0.2">
      <c r="AD96" s="74"/>
      <c r="AE96" s="74"/>
    </row>
    <row r="97" spans="30:31" s="13" customFormat="1" ht="15" customHeight="1" x14ac:dyDescent="0.2">
      <c r="AD97" s="74"/>
      <c r="AE97" s="74"/>
    </row>
    <row r="98" spans="30:31" s="13" customFormat="1" ht="15" customHeight="1" x14ac:dyDescent="0.2">
      <c r="AD98" s="74"/>
      <c r="AE98" s="74"/>
    </row>
    <row r="99" spans="30:31" s="13" customFormat="1" ht="15" customHeight="1" x14ac:dyDescent="0.2">
      <c r="AD99" s="74"/>
      <c r="AE99" s="74"/>
    </row>
    <row r="100" spans="30:31" s="13" customFormat="1" ht="15" customHeight="1" x14ac:dyDescent="0.2">
      <c r="AD100" s="74"/>
      <c r="AE100" s="74"/>
    </row>
    <row r="101" spans="30:31" s="13" customFormat="1" ht="15" customHeight="1" x14ac:dyDescent="0.2">
      <c r="AD101" s="74"/>
      <c r="AE101" s="74"/>
    </row>
    <row r="102" spans="30:31" s="13" customFormat="1" ht="15" customHeight="1" x14ac:dyDescent="0.2">
      <c r="AD102" s="74"/>
      <c r="AE102" s="74"/>
    </row>
    <row r="103" spans="30:31" s="13" customFormat="1" ht="15" customHeight="1" x14ac:dyDescent="0.2">
      <c r="AD103" s="74"/>
      <c r="AE103" s="74"/>
    </row>
    <row r="104" spans="30:31" s="13" customFormat="1" ht="15" customHeight="1" x14ac:dyDescent="0.2">
      <c r="AD104" s="74"/>
      <c r="AE104" s="74"/>
    </row>
    <row r="105" spans="30:31" s="13" customFormat="1" ht="15" customHeight="1" x14ac:dyDescent="0.2">
      <c r="AD105" s="74"/>
      <c r="AE105" s="74"/>
    </row>
    <row r="106" spans="30:31" s="13" customFormat="1" ht="15" customHeight="1" x14ac:dyDescent="0.2">
      <c r="AD106" s="74"/>
      <c r="AE106" s="74"/>
    </row>
    <row r="107" spans="30:31" s="13" customFormat="1" ht="15" customHeight="1" x14ac:dyDescent="0.2">
      <c r="AD107" s="74"/>
      <c r="AE107" s="74"/>
    </row>
    <row r="108" spans="30:31" s="13" customFormat="1" ht="15" customHeight="1" x14ac:dyDescent="0.2">
      <c r="AD108" s="74"/>
      <c r="AE108" s="74"/>
    </row>
    <row r="109" spans="30:31" s="13" customFormat="1" ht="15" customHeight="1" x14ac:dyDescent="0.2">
      <c r="AD109" s="74"/>
      <c r="AE109" s="74"/>
    </row>
    <row r="110" spans="30:31" s="13" customFormat="1" ht="15" customHeight="1" x14ac:dyDescent="0.2">
      <c r="AD110" s="74"/>
      <c r="AE110" s="74"/>
    </row>
    <row r="111" spans="30:31" s="13" customFormat="1" ht="15" customHeight="1" x14ac:dyDescent="0.2">
      <c r="AD111" s="74"/>
      <c r="AE111" s="74"/>
    </row>
    <row r="112" spans="30:31" s="13" customFormat="1" ht="15" customHeight="1" x14ac:dyDescent="0.2">
      <c r="AD112" s="74"/>
      <c r="AE112" s="74"/>
    </row>
    <row r="113" spans="30:31" s="13" customFormat="1" ht="15" customHeight="1" x14ac:dyDescent="0.2">
      <c r="AD113" s="74"/>
      <c r="AE113" s="74"/>
    </row>
    <row r="114" spans="30:31" s="13" customFormat="1" ht="15" customHeight="1" x14ac:dyDescent="0.2">
      <c r="AD114" s="74"/>
      <c r="AE114" s="74"/>
    </row>
    <row r="115" spans="30:31" s="13" customFormat="1" ht="15" customHeight="1" x14ac:dyDescent="0.2">
      <c r="AD115" s="74"/>
      <c r="AE115" s="74"/>
    </row>
    <row r="116" spans="30:31" s="13" customFormat="1" ht="15" customHeight="1" x14ac:dyDescent="0.2">
      <c r="AD116" s="74"/>
      <c r="AE116" s="74"/>
    </row>
    <row r="117" spans="30:31" s="13" customFormat="1" ht="15" customHeight="1" x14ac:dyDescent="0.2">
      <c r="AD117" s="74"/>
      <c r="AE117" s="74"/>
    </row>
    <row r="118" spans="30:31" s="13" customFormat="1" ht="15" customHeight="1" x14ac:dyDescent="0.2">
      <c r="AD118" s="74"/>
      <c r="AE118" s="74"/>
    </row>
    <row r="119" spans="30:31" s="13" customFormat="1" ht="15" customHeight="1" x14ac:dyDescent="0.2">
      <c r="AD119" s="74"/>
      <c r="AE119" s="74"/>
    </row>
    <row r="120" spans="30:31" s="13" customFormat="1" ht="15" customHeight="1" x14ac:dyDescent="0.2">
      <c r="AD120" s="74"/>
      <c r="AE120" s="74"/>
    </row>
    <row r="121" spans="30:31" s="13" customFormat="1" ht="15" customHeight="1" x14ac:dyDescent="0.2">
      <c r="AD121" s="74"/>
      <c r="AE121" s="74"/>
    </row>
    <row r="122" spans="30:31" s="13" customFormat="1" ht="15" customHeight="1" x14ac:dyDescent="0.2">
      <c r="AD122" s="74"/>
      <c r="AE122" s="74"/>
    </row>
    <row r="123" spans="30:31" s="13" customFormat="1" ht="15" customHeight="1" x14ac:dyDescent="0.2">
      <c r="AD123" s="74"/>
      <c r="AE123" s="74"/>
    </row>
  </sheetData>
  <customSheetViews>
    <customSheetView guid="{B7440494-8EA9-4463-9947-E5D20E74049D}" showGridLines="0">
      <pane xSplit="1" ySplit="10" topLeftCell="AJ20" activePane="bottomRight" state="frozen"/>
      <selection pane="bottomRight" activeCell="AO6" sqref="AO6"/>
      <colBreaks count="4" manualBreakCount="4">
        <brk id="9" min="1" max="35" man="1"/>
        <brk id="17" min="1" max="35" man="1"/>
        <brk id="25" min="1" max="35" man="1"/>
        <brk id="33" min="1" max="35" man="1"/>
      </colBreaks>
      <pageMargins left="0" right="0" top="0.78740157480314965" bottom="0" header="0" footer="0"/>
      <printOptions horizontalCentered="1"/>
      <pageSetup paperSize="9" scale="82" orientation="landscape" horizontalDpi="1200" verticalDpi="1200" r:id="rId1"/>
      <headerFooter alignWithMargins="0">
        <oddHeader>&amp;R&amp;P/&amp;N</oddHeader>
      </headerFooter>
    </customSheetView>
    <customSheetView guid="{6D89F6EF-F5AD-478F-979A-5AF1BC78EF91}" showGridLines="0">
      <pane xSplit="2" ySplit="8" topLeftCell="C9" activePane="bottomRight" state="frozen"/>
      <selection pane="bottomRight" activeCell="C10" sqref="C10"/>
      <colBreaks count="5" manualBreakCount="5">
        <brk id="17" max="37" man="1"/>
        <brk id="25" max="37" man="1"/>
        <brk id="33" max="37" man="1"/>
        <brk id="42" max="37" man="1"/>
        <brk id="50" max="37" man="1"/>
      </colBreaks>
      <pageMargins left="0" right="0" top="0.15748031496062992" bottom="0" header="0.15748031496062992" footer="0"/>
      <printOptions horizontalCentered="1" verticalCentered="1"/>
      <pageSetup paperSize="9" orientation="landscape" horizontalDpi="1200" verticalDpi="1200" r:id="rId2"/>
      <headerFooter alignWithMargins="0"/>
    </customSheetView>
    <customSheetView guid="{A9134056-6B1C-4A42-AFE9-9712EF3EF3D4}" showPageBreaks="1" showGridLines="0" printArea="1">
      <pane xSplit="2" ySplit="8" topLeftCell="C9" activePane="bottomRight" state="frozen"/>
      <selection pane="bottomRight" activeCell="C10" sqref="C10"/>
      <colBreaks count="7" manualBreakCount="7">
        <brk id="8" min="1" max="38" man="1"/>
        <brk id="15" min="1" max="38" man="1"/>
        <brk id="17" max="37" man="1"/>
        <brk id="25" max="37" man="1"/>
        <brk id="33" max="37" man="1"/>
        <brk id="42" max="37" man="1"/>
        <brk id="50" max="37" man="1"/>
      </colBreaks>
      <pageMargins left="0" right="0" top="0.15748031496062992" bottom="0" header="0.15748031496062992" footer="0"/>
      <printOptions horizontalCentered="1" verticalCentered="1"/>
      <pageSetup paperSize="9" orientation="landscape" horizontalDpi="1200" verticalDpi="1200" r:id="rId3"/>
      <headerFooter alignWithMargins="0"/>
    </customSheetView>
  </customSheetViews>
  <hyperlinks>
    <hyperlink ref="AS6" location="Índex!E9" display="Índex"/>
  </hyperlinks>
  <printOptions horizontalCentered="1"/>
  <pageMargins left="0" right="0" top="0.39370078740157483" bottom="0" header="0" footer="0"/>
  <pageSetup paperSize="9" scale="86" orientation="landscape" horizontalDpi="1200" verticalDpi="1200" r:id="rId4"/>
  <headerFooter alignWithMargins="0">
    <oddHeader>&amp;R&amp;P/&amp;N</oddHeader>
  </headerFooter>
  <colBreaks count="5" manualBreakCount="5">
    <brk id="9" max="1048575" man="1"/>
    <brk id="17" max="1048575" man="1"/>
    <brk id="25" max="1048575" man="1"/>
    <brk id="33" max="1048575" man="1"/>
    <brk id="41" max="1048575" man="1"/>
  </colBreaks>
  <drawing r:id="rId5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34"/>
  <dimension ref="A1:DQ103"/>
  <sheetViews>
    <sheetView showGridLines="0" zoomScaleNormal="100" workbookViewId="0">
      <pane xSplit="1" ySplit="8" topLeftCell="AK9" activePane="bottomRight" state="frozen"/>
      <selection activeCell="E9" sqref="E9"/>
      <selection pane="topRight" activeCell="E9" sqref="E9"/>
      <selection pane="bottomLeft" activeCell="E9" sqref="E9"/>
      <selection pane="bottomRight" activeCell="E9" sqref="E9"/>
    </sheetView>
  </sheetViews>
  <sheetFormatPr defaultColWidth="10.28515625" defaultRowHeight="15" customHeight="1" x14ac:dyDescent="0.2"/>
  <cols>
    <col min="1" max="1" width="53.5703125" style="1" bestFit="1" customWidth="1"/>
    <col min="2" max="37" width="10.7109375" style="1" customWidth="1"/>
    <col min="38" max="16384" width="10.28515625" style="1"/>
  </cols>
  <sheetData>
    <row r="1" spans="1:121" s="25" customFormat="1" ht="15" customHeight="1" x14ac:dyDescent="0.2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2"/>
      <c r="AW1" s="62"/>
      <c r="AX1" s="62"/>
      <c r="AY1" s="62"/>
      <c r="AZ1" s="62"/>
      <c r="BA1" s="62"/>
      <c r="BB1" s="62"/>
      <c r="BC1" s="62"/>
      <c r="BD1" s="62"/>
      <c r="BE1" s="62"/>
      <c r="BF1" s="62"/>
      <c r="BG1" s="62"/>
      <c r="BH1" s="62"/>
      <c r="BI1" s="62"/>
      <c r="BJ1" s="56"/>
      <c r="BK1" s="56"/>
      <c r="BL1" s="56"/>
      <c r="BM1" s="56"/>
      <c r="BN1" s="56"/>
      <c r="BO1" s="56"/>
      <c r="BP1" s="56"/>
      <c r="BQ1" s="56"/>
      <c r="BR1" s="56"/>
      <c r="BS1" s="56"/>
      <c r="BT1" s="56"/>
      <c r="BU1" s="56"/>
    </row>
    <row r="2" spans="1:121" s="25" customFormat="1" ht="15" customHeight="1" x14ac:dyDescent="0.25">
      <c r="A2" s="56"/>
      <c r="B2" s="199"/>
      <c r="C2" s="56"/>
      <c r="D2" s="56"/>
      <c r="E2" s="216"/>
      <c r="F2" s="216"/>
      <c r="G2" s="216"/>
      <c r="H2" s="56"/>
      <c r="I2" s="56"/>
      <c r="J2" s="56"/>
      <c r="K2" s="21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  <c r="BM2" s="56"/>
      <c r="BN2" s="56"/>
      <c r="BO2" s="56"/>
      <c r="BP2" s="56"/>
      <c r="BQ2" s="56"/>
      <c r="BR2" s="56"/>
      <c r="BS2" s="56"/>
      <c r="BT2" s="56"/>
      <c r="BU2" s="56"/>
    </row>
    <row r="3" spans="1:121" s="25" customFormat="1" ht="15" customHeight="1" x14ac:dyDescent="0.25">
      <c r="A3" s="57"/>
      <c r="B3" s="57"/>
      <c r="C3" s="61"/>
      <c r="D3" s="57"/>
      <c r="E3" s="217"/>
      <c r="F3" s="217"/>
      <c r="G3" s="217"/>
      <c r="H3" s="57"/>
      <c r="I3" s="57"/>
      <c r="J3" s="57"/>
      <c r="K3" s="21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7"/>
      <c r="BT3" s="57"/>
      <c r="BU3" s="57"/>
    </row>
    <row r="4" spans="1:121" s="25" customFormat="1" ht="15" customHeight="1" x14ac:dyDescent="0.2">
      <c r="A4" s="58"/>
      <c r="B4" s="58"/>
      <c r="C4" s="58"/>
      <c r="D4" s="58"/>
      <c r="E4" s="218"/>
      <c r="F4" s="218"/>
      <c r="G4" s="218"/>
      <c r="H4" s="58"/>
      <c r="I4" s="58"/>
      <c r="J4" s="58"/>
      <c r="K4" s="21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  <c r="CG4" s="198"/>
      <c r="CH4" s="198"/>
      <c r="CI4" s="198"/>
      <c r="CJ4" s="198"/>
      <c r="CK4" s="198"/>
      <c r="CL4" s="198"/>
      <c r="CM4" s="198"/>
      <c r="CN4" s="198"/>
      <c r="CO4" s="198"/>
    </row>
    <row r="5" spans="1:121" s="25" customFormat="1" ht="19.5" thickBot="1" x14ac:dyDescent="0.35">
      <c r="A5" s="190" t="s">
        <v>579</v>
      </c>
      <c r="B5" s="61"/>
      <c r="C5" s="59"/>
      <c r="D5" s="61"/>
      <c r="E5" s="59"/>
      <c r="F5" s="114"/>
      <c r="G5" s="59"/>
      <c r="H5" s="112"/>
      <c r="I5" s="59"/>
      <c r="J5" s="59"/>
      <c r="K5" s="59"/>
      <c r="L5" s="59"/>
      <c r="M5" s="59"/>
      <c r="N5" s="59"/>
      <c r="O5" s="59"/>
      <c r="P5" s="59"/>
      <c r="Q5" s="59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59"/>
      <c r="BR5" s="59"/>
      <c r="BS5" s="59"/>
      <c r="BT5" s="59"/>
      <c r="BU5" s="59"/>
      <c r="BW5" s="114"/>
      <c r="CA5" s="114"/>
      <c r="CC5" s="134"/>
      <c r="CF5" s="65"/>
      <c r="CG5" s="194"/>
      <c r="CH5" s="194"/>
      <c r="CI5" s="194"/>
      <c r="CJ5" s="225"/>
      <c r="CK5" s="194"/>
      <c r="CL5" s="194"/>
      <c r="CM5" s="194"/>
      <c r="CN5" s="194"/>
      <c r="CO5" s="198"/>
    </row>
    <row r="6" spans="1:121" s="236" customFormat="1" ht="15" customHeight="1" thickTop="1" x14ac:dyDescent="0.2">
      <c r="A6" s="234"/>
      <c r="B6" s="234"/>
      <c r="C6" s="235"/>
      <c r="D6" s="235"/>
      <c r="E6" s="235"/>
      <c r="AL6" s="133"/>
      <c r="AN6" s="133"/>
      <c r="AO6" s="133"/>
      <c r="AP6" s="400"/>
      <c r="AQ6" s="400"/>
      <c r="AR6" s="400"/>
      <c r="AS6" s="400" t="s">
        <v>662</v>
      </c>
    </row>
    <row r="7" spans="1:121" s="183" customFormat="1" ht="15" customHeight="1" x14ac:dyDescent="0.2">
      <c r="A7" s="182"/>
      <c r="B7" s="664" t="s">
        <v>401</v>
      </c>
      <c r="C7" s="664" t="s">
        <v>402</v>
      </c>
      <c r="D7" s="664" t="s">
        <v>403</v>
      </c>
      <c r="E7" s="664" t="s">
        <v>404</v>
      </c>
      <c r="F7" s="664" t="s">
        <v>405</v>
      </c>
      <c r="G7" s="664" t="s">
        <v>406</v>
      </c>
      <c r="H7" s="664" t="s">
        <v>407</v>
      </c>
      <c r="I7" s="664" t="s">
        <v>408</v>
      </c>
      <c r="J7" s="664" t="s">
        <v>409</v>
      </c>
      <c r="K7" s="664" t="s">
        <v>410</v>
      </c>
      <c r="L7" s="664" t="s">
        <v>411</v>
      </c>
      <c r="M7" s="664" t="s">
        <v>412</v>
      </c>
      <c r="N7" s="664" t="s">
        <v>413</v>
      </c>
      <c r="O7" s="664" t="s">
        <v>414</v>
      </c>
      <c r="P7" s="664" t="s">
        <v>415</v>
      </c>
      <c r="Q7" s="664" t="s">
        <v>416</v>
      </c>
      <c r="R7" s="664" t="s">
        <v>417</v>
      </c>
      <c r="S7" s="664" t="s">
        <v>418</v>
      </c>
      <c r="T7" s="664" t="s">
        <v>419</v>
      </c>
      <c r="U7" s="664" t="s">
        <v>420</v>
      </c>
      <c r="V7" s="664" t="s">
        <v>421</v>
      </c>
      <c r="W7" s="664" t="s">
        <v>422</v>
      </c>
      <c r="X7" s="664" t="s">
        <v>423</v>
      </c>
      <c r="Y7" s="664" t="s">
        <v>424</v>
      </c>
      <c r="Z7" s="664" t="s">
        <v>425</v>
      </c>
      <c r="AA7" s="664" t="s">
        <v>426</v>
      </c>
      <c r="AB7" s="664" t="s">
        <v>427</v>
      </c>
      <c r="AC7" s="664" t="s">
        <v>428</v>
      </c>
      <c r="AD7" s="664" t="s">
        <v>429</v>
      </c>
      <c r="AE7" s="664" t="s">
        <v>430</v>
      </c>
      <c r="AF7" s="664" t="s">
        <v>431</v>
      </c>
      <c r="AG7" s="664" t="s">
        <v>432</v>
      </c>
      <c r="AH7" s="664" t="s">
        <v>433</v>
      </c>
      <c r="AI7" s="664" t="s">
        <v>434</v>
      </c>
      <c r="AJ7" s="664" t="s">
        <v>543</v>
      </c>
      <c r="AK7" s="664" t="s">
        <v>435</v>
      </c>
      <c r="AL7" s="664" t="s">
        <v>436</v>
      </c>
      <c r="AM7" s="664" t="s">
        <v>437</v>
      </c>
      <c r="AN7" s="664" t="s">
        <v>438</v>
      </c>
      <c r="AO7" s="664" t="s">
        <v>450</v>
      </c>
      <c r="AP7" s="664" t="s">
        <v>451</v>
      </c>
      <c r="AQ7" s="664" t="s">
        <v>452</v>
      </c>
      <c r="AR7" s="664" t="s">
        <v>453</v>
      </c>
      <c r="AS7" s="664" t="s">
        <v>454</v>
      </c>
      <c r="CC7" s="243"/>
    </row>
    <row r="8" spans="1:121" s="178" customFormat="1" ht="9.9499999999999993" customHeight="1" x14ac:dyDescent="0.2">
      <c r="A8" s="233"/>
      <c r="B8" s="233"/>
      <c r="C8" s="233"/>
      <c r="D8" s="233"/>
      <c r="E8" s="233"/>
      <c r="F8" s="233"/>
      <c r="G8" s="233"/>
      <c r="H8" s="233"/>
      <c r="I8" s="233"/>
      <c r="J8" s="233"/>
      <c r="K8" s="233"/>
      <c r="L8" s="233"/>
      <c r="M8" s="233"/>
      <c r="N8" s="233"/>
      <c r="O8" s="233"/>
      <c r="P8" s="233"/>
      <c r="Q8" s="233"/>
      <c r="R8" s="233"/>
      <c r="S8" s="233"/>
      <c r="T8" s="233"/>
      <c r="U8" s="233"/>
      <c r="V8" s="233"/>
      <c r="W8" s="233"/>
      <c r="X8" s="233"/>
      <c r="Y8" s="233"/>
      <c r="Z8" s="233"/>
      <c r="AA8" s="233"/>
      <c r="AB8" s="233"/>
      <c r="AC8" s="233"/>
      <c r="AD8" s="233"/>
      <c r="AE8" s="233"/>
      <c r="AF8" s="233"/>
      <c r="AG8" s="233"/>
      <c r="AH8" s="233"/>
      <c r="AI8" s="233"/>
      <c r="AJ8" s="233"/>
      <c r="AK8" s="233"/>
      <c r="AL8" s="233"/>
      <c r="AM8" s="233"/>
      <c r="AN8" s="233"/>
      <c r="AO8" s="233"/>
      <c r="AP8" s="233"/>
      <c r="AQ8" s="233"/>
      <c r="AR8" s="233"/>
      <c r="AS8" s="233"/>
      <c r="AT8" s="191"/>
      <c r="AU8" s="191"/>
      <c r="AV8" s="191"/>
      <c r="AW8" s="191"/>
      <c r="AX8" s="191"/>
      <c r="AY8" s="191"/>
      <c r="AZ8" s="191"/>
      <c r="BA8" s="191"/>
      <c r="BB8" s="191"/>
      <c r="BC8" s="191"/>
      <c r="BD8" s="191"/>
      <c r="BE8" s="191"/>
      <c r="BF8" s="191"/>
      <c r="BG8" s="191"/>
      <c r="BH8" s="191"/>
      <c r="BI8" s="191"/>
      <c r="BJ8" s="191"/>
      <c r="BK8" s="191"/>
      <c r="BL8" s="191"/>
      <c r="BM8" s="191"/>
      <c r="BN8" s="191"/>
      <c r="BO8" s="191"/>
      <c r="BP8" s="191"/>
      <c r="BQ8" s="191"/>
      <c r="BR8" s="191"/>
      <c r="BS8" s="191"/>
      <c r="BT8" s="191"/>
      <c r="BU8" s="191"/>
      <c r="BV8" s="191"/>
      <c r="BW8" s="191"/>
      <c r="BX8" s="191"/>
      <c r="BY8" s="191"/>
      <c r="BZ8" s="191"/>
      <c r="CA8" s="191"/>
      <c r="CB8" s="191"/>
      <c r="CC8" s="191"/>
      <c r="CD8" s="191"/>
    </row>
    <row r="9" spans="1:121" s="178" customFormat="1" ht="5.0999999999999996" customHeight="1" x14ac:dyDescent="0.2">
      <c r="A9" s="248"/>
      <c r="B9" s="203"/>
      <c r="C9" s="203"/>
      <c r="D9" s="203"/>
      <c r="E9" s="203"/>
      <c r="F9" s="203"/>
      <c r="G9" s="203"/>
      <c r="H9" s="203"/>
      <c r="I9" s="203"/>
      <c r="J9" s="203"/>
      <c r="K9" s="203"/>
      <c r="L9" s="203"/>
      <c r="M9" s="203"/>
      <c r="N9" s="203"/>
      <c r="O9" s="203"/>
      <c r="P9" s="203"/>
      <c r="Q9" s="203"/>
      <c r="R9" s="203"/>
      <c r="S9" s="203"/>
      <c r="T9" s="203"/>
      <c r="U9" s="203"/>
      <c r="V9" s="203"/>
      <c r="W9" s="203"/>
      <c r="X9" s="203"/>
      <c r="Y9" s="203"/>
      <c r="Z9" s="203"/>
      <c r="AA9" s="203"/>
      <c r="AB9" s="203"/>
      <c r="AC9" s="203"/>
      <c r="AD9" s="203"/>
      <c r="AE9" s="203"/>
      <c r="AF9" s="203"/>
      <c r="AG9" s="203"/>
      <c r="AH9" s="203"/>
      <c r="AI9" s="203"/>
      <c r="AJ9" s="203"/>
      <c r="AK9" s="203"/>
      <c r="AL9" s="203"/>
      <c r="AM9" s="203"/>
      <c r="AN9" s="203"/>
      <c r="AO9" s="203"/>
      <c r="AP9" s="203"/>
      <c r="AQ9" s="203"/>
      <c r="AR9" s="203"/>
      <c r="AS9" s="203"/>
      <c r="AT9" s="203"/>
      <c r="AU9" s="203"/>
      <c r="AV9" s="203"/>
      <c r="AW9" s="203"/>
      <c r="AX9" s="203"/>
      <c r="AY9" s="203"/>
      <c r="AZ9" s="203"/>
      <c r="BA9" s="203"/>
      <c r="BB9" s="203"/>
      <c r="BC9" s="203"/>
      <c r="BD9" s="203"/>
      <c r="BE9" s="203"/>
      <c r="BF9" s="203"/>
      <c r="BG9" s="203"/>
      <c r="BH9" s="203"/>
      <c r="BI9" s="203"/>
      <c r="BJ9" s="203"/>
      <c r="BK9" s="203"/>
      <c r="BL9" s="203"/>
      <c r="BM9" s="203"/>
      <c r="BN9" s="203"/>
      <c r="BO9" s="203"/>
      <c r="BP9" s="203"/>
      <c r="BQ9" s="203"/>
      <c r="BR9" s="203"/>
      <c r="BS9" s="203"/>
      <c r="BT9" s="203"/>
      <c r="BU9" s="203"/>
      <c r="BV9" s="203"/>
      <c r="BW9" s="203"/>
      <c r="BX9" s="203"/>
      <c r="BY9" s="203"/>
      <c r="BZ9" s="203"/>
      <c r="CA9" s="203"/>
      <c r="CB9" s="203"/>
      <c r="CC9" s="203"/>
      <c r="CD9" s="203"/>
    </row>
    <row r="10" spans="1:121" s="228" customFormat="1" ht="15" customHeight="1" x14ac:dyDescent="0.2">
      <c r="A10" s="226" t="s">
        <v>192</v>
      </c>
      <c r="B10" s="253">
        <v>9076</v>
      </c>
      <c r="C10" s="253">
        <v>9574</v>
      </c>
      <c r="D10" s="253">
        <v>9964</v>
      </c>
      <c r="E10" s="253">
        <v>10416</v>
      </c>
      <c r="F10" s="253">
        <v>10649</v>
      </c>
      <c r="G10" s="253">
        <v>10792</v>
      </c>
      <c r="H10" s="254">
        <v>10829</v>
      </c>
      <c r="I10" s="254">
        <v>10744</v>
      </c>
      <c r="J10" s="254">
        <v>10776</v>
      </c>
      <c r="K10" s="254">
        <v>11030</v>
      </c>
      <c r="L10" s="254">
        <v>11189</v>
      </c>
      <c r="M10" s="254">
        <v>11616</v>
      </c>
      <c r="N10" s="254">
        <v>12017</v>
      </c>
      <c r="O10" s="254">
        <v>12359</v>
      </c>
      <c r="P10" s="254">
        <v>12929</v>
      </c>
      <c r="Q10" s="254">
        <v>13372</v>
      </c>
      <c r="R10" s="254">
        <v>13758</v>
      </c>
      <c r="S10" s="254">
        <v>14256</v>
      </c>
      <c r="T10" s="254">
        <v>14705</v>
      </c>
      <c r="U10" s="254">
        <v>15223</v>
      </c>
      <c r="V10" s="254">
        <v>15831</v>
      </c>
      <c r="W10" s="254">
        <v>16361</v>
      </c>
      <c r="X10" s="254">
        <v>16923</v>
      </c>
      <c r="Y10" s="254">
        <v>17512</v>
      </c>
      <c r="Z10" s="254">
        <v>17993</v>
      </c>
      <c r="AA10" s="254">
        <v>18695</v>
      </c>
      <c r="AB10" s="254">
        <v>19234</v>
      </c>
      <c r="AC10" s="254">
        <v>19786</v>
      </c>
      <c r="AD10" s="254">
        <v>20470</v>
      </c>
      <c r="AE10" s="254">
        <v>20815</v>
      </c>
      <c r="AF10" s="254">
        <v>21477</v>
      </c>
      <c r="AG10" s="254">
        <v>22089</v>
      </c>
      <c r="AH10" s="254">
        <v>22550</v>
      </c>
      <c r="AI10" s="254">
        <v>23340</v>
      </c>
      <c r="AJ10" s="254">
        <v>24081</v>
      </c>
      <c r="AK10" s="254">
        <v>24839</v>
      </c>
      <c r="AL10" s="254">
        <v>25500</v>
      </c>
      <c r="AM10" s="254">
        <v>26006</v>
      </c>
      <c r="AN10" s="254">
        <v>27076</v>
      </c>
      <c r="AO10" s="254">
        <v>28024</v>
      </c>
      <c r="AP10" s="254">
        <v>29049</v>
      </c>
      <c r="AQ10" s="254">
        <v>29921</v>
      </c>
      <c r="AR10" s="254">
        <v>30293</v>
      </c>
      <c r="AS10" s="259">
        <v>30810</v>
      </c>
    </row>
    <row r="11" spans="1:121" s="228" customFormat="1" ht="15" customHeight="1" x14ac:dyDescent="0.2">
      <c r="A11" s="226" t="s">
        <v>575</v>
      </c>
      <c r="B11" s="253">
        <v>6107</v>
      </c>
      <c r="C11" s="253">
        <v>6313</v>
      </c>
      <c r="D11" s="253">
        <v>6390</v>
      </c>
      <c r="E11" s="253">
        <v>6774</v>
      </c>
      <c r="F11" s="253">
        <v>7062</v>
      </c>
      <c r="G11" s="253">
        <v>7136</v>
      </c>
      <c r="H11" s="254">
        <v>7333</v>
      </c>
      <c r="I11" s="254">
        <v>7390</v>
      </c>
      <c r="J11" s="254">
        <v>7448</v>
      </c>
      <c r="K11" s="254">
        <v>7581</v>
      </c>
      <c r="L11" s="254">
        <v>7818</v>
      </c>
      <c r="M11" s="254">
        <v>7967</v>
      </c>
      <c r="N11" s="254">
        <v>8235</v>
      </c>
      <c r="O11" s="254">
        <v>8565</v>
      </c>
      <c r="P11" s="254">
        <v>8850</v>
      </c>
      <c r="Q11" s="254">
        <v>9302</v>
      </c>
      <c r="R11" s="254">
        <v>9618</v>
      </c>
      <c r="S11" s="254">
        <v>9985</v>
      </c>
      <c r="T11" s="254">
        <v>10454</v>
      </c>
      <c r="U11" s="254">
        <v>11061</v>
      </c>
      <c r="V11" s="254">
        <v>11503</v>
      </c>
      <c r="W11" s="254">
        <v>11945</v>
      </c>
      <c r="X11" s="254">
        <v>12184</v>
      </c>
      <c r="Y11" s="254">
        <v>12186</v>
      </c>
      <c r="Z11" s="254">
        <v>12367</v>
      </c>
      <c r="AA11" s="254">
        <v>12511</v>
      </c>
      <c r="AB11" s="254">
        <v>12738</v>
      </c>
      <c r="AC11" s="254">
        <v>13061</v>
      </c>
      <c r="AD11" s="254">
        <v>13281</v>
      </c>
      <c r="AE11" s="254">
        <v>13538</v>
      </c>
      <c r="AF11" s="254">
        <v>13756</v>
      </c>
      <c r="AG11" s="254">
        <v>13967</v>
      </c>
      <c r="AH11" s="254">
        <v>14133</v>
      </c>
      <c r="AI11" s="254">
        <v>14303</v>
      </c>
      <c r="AJ11" s="254">
        <v>14536</v>
      </c>
      <c r="AK11" s="254">
        <v>14699</v>
      </c>
      <c r="AL11" s="254">
        <v>15008</v>
      </c>
      <c r="AM11" s="254">
        <v>15272</v>
      </c>
      <c r="AN11" s="254">
        <v>16405</v>
      </c>
      <c r="AO11" s="254">
        <v>17637</v>
      </c>
      <c r="AP11" s="254">
        <v>18705</v>
      </c>
      <c r="AQ11" s="254">
        <v>19790</v>
      </c>
      <c r="AR11" s="254">
        <v>19693</v>
      </c>
      <c r="AS11" s="259">
        <v>19500</v>
      </c>
    </row>
    <row r="12" spans="1:121" s="228" customFormat="1" ht="15" customHeight="1" x14ac:dyDescent="0.2">
      <c r="A12" s="226" t="s">
        <v>194</v>
      </c>
      <c r="B12" s="253">
        <v>6306</v>
      </c>
      <c r="C12" s="253">
        <v>6588</v>
      </c>
      <c r="D12" s="253">
        <v>6837</v>
      </c>
      <c r="E12" s="253">
        <v>7121</v>
      </c>
      <c r="F12" s="253">
        <v>7396</v>
      </c>
      <c r="G12" s="253">
        <v>7710</v>
      </c>
      <c r="H12" s="254">
        <v>8048</v>
      </c>
      <c r="I12" s="254">
        <v>8307</v>
      </c>
      <c r="J12" s="254">
        <v>8585</v>
      </c>
      <c r="K12" s="254">
        <v>8816</v>
      </c>
      <c r="L12" s="254">
        <v>9045</v>
      </c>
      <c r="M12" s="254">
        <v>9493</v>
      </c>
      <c r="N12" s="254">
        <v>9985</v>
      </c>
      <c r="O12" s="254">
        <v>10490</v>
      </c>
      <c r="P12" s="254">
        <v>11021</v>
      </c>
      <c r="Q12" s="254">
        <v>11532</v>
      </c>
      <c r="R12" s="254">
        <v>12025</v>
      </c>
      <c r="S12" s="254">
        <v>12466</v>
      </c>
      <c r="T12" s="254">
        <v>12981</v>
      </c>
      <c r="U12" s="254">
        <v>13406</v>
      </c>
      <c r="V12" s="254">
        <v>13667</v>
      </c>
      <c r="W12" s="254">
        <v>13929</v>
      </c>
      <c r="X12" s="254">
        <v>14089</v>
      </c>
      <c r="Y12" s="254">
        <v>14162</v>
      </c>
      <c r="Z12" s="254">
        <v>14216</v>
      </c>
      <c r="AA12" s="254">
        <v>14353</v>
      </c>
      <c r="AB12" s="254">
        <v>14419</v>
      </c>
      <c r="AC12" s="254">
        <v>14512</v>
      </c>
      <c r="AD12" s="254">
        <v>14543</v>
      </c>
      <c r="AE12" s="254">
        <v>14540</v>
      </c>
      <c r="AF12" s="254">
        <v>14537</v>
      </c>
      <c r="AG12" s="254">
        <v>14848</v>
      </c>
      <c r="AH12" s="254">
        <v>15001</v>
      </c>
      <c r="AI12" s="254">
        <v>15352</v>
      </c>
      <c r="AJ12" s="254">
        <v>15924</v>
      </c>
      <c r="AK12" s="254">
        <v>16339</v>
      </c>
      <c r="AL12" s="254">
        <v>16816</v>
      </c>
      <c r="AM12" s="254">
        <v>17160</v>
      </c>
      <c r="AN12" s="254">
        <v>18297</v>
      </c>
      <c r="AO12" s="254">
        <v>19134</v>
      </c>
      <c r="AP12" s="254">
        <v>19872</v>
      </c>
      <c r="AQ12" s="254">
        <v>20500</v>
      </c>
      <c r="AR12" s="254">
        <v>20193</v>
      </c>
      <c r="AS12" s="580">
        <v>20122</v>
      </c>
    </row>
    <row r="13" spans="1:121" s="287" customFormat="1" ht="5.0999999999999996" customHeight="1" x14ac:dyDescent="0.2">
      <c r="A13" s="564"/>
      <c r="B13" s="286"/>
      <c r="C13" s="286"/>
      <c r="D13" s="286"/>
      <c r="E13" s="286"/>
      <c r="F13" s="286"/>
      <c r="G13" s="286"/>
      <c r="H13" s="286"/>
      <c r="I13" s="286"/>
      <c r="J13" s="286"/>
      <c r="K13" s="286"/>
      <c r="L13" s="286"/>
      <c r="M13" s="286"/>
      <c r="N13" s="286"/>
      <c r="O13" s="286"/>
      <c r="P13" s="286"/>
      <c r="Q13" s="286"/>
      <c r="R13" s="286"/>
      <c r="S13" s="286"/>
      <c r="T13" s="286"/>
      <c r="U13" s="286"/>
      <c r="V13" s="286"/>
      <c r="W13" s="286"/>
      <c r="X13" s="286"/>
      <c r="Y13" s="286"/>
      <c r="Z13" s="286"/>
      <c r="AA13" s="286"/>
      <c r="AB13" s="286"/>
      <c r="AC13" s="286"/>
      <c r="AD13" s="286"/>
      <c r="AE13" s="286"/>
      <c r="AF13" s="286"/>
      <c r="AG13" s="286"/>
      <c r="AH13" s="286"/>
      <c r="AI13" s="286"/>
      <c r="AJ13" s="286"/>
      <c r="AK13" s="286"/>
      <c r="AL13" s="286"/>
      <c r="AM13" s="286"/>
      <c r="AN13" s="286"/>
      <c r="AO13" s="286"/>
      <c r="AP13" s="286"/>
      <c r="AQ13" s="286"/>
      <c r="AR13" s="286"/>
      <c r="AS13" s="286"/>
      <c r="AT13" s="286"/>
      <c r="AU13" s="286"/>
      <c r="AV13" s="286"/>
      <c r="AW13" s="286"/>
      <c r="AX13" s="286"/>
      <c r="AY13" s="286"/>
      <c r="AZ13" s="286"/>
      <c r="BA13" s="286"/>
      <c r="BB13" s="286"/>
      <c r="BC13" s="286"/>
      <c r="BD13" s="286"/>
      <c r="BE13" s="286"/>
      <c r="BF13" s="286"/>
      <c r="BG13" s="286"/>
      <c r="BH13" s="286"/>
      <c r="BI13" s="286"/>
      <c r="BJ13" s="286"/>
      <c r="BK13" s="286"/>
      <c r="BL13" s="286"/>
      <c r="BM13" s="286"/>
      <c r="BN13" s="286"/>
      <c r="BO13" s="286"/>
      <c r="BP13" s="286"/>
      <c r="BQ13" s="286"/>
      <c r="BR13" s="286"/>
      <c r="BS13" s="286"/>
      <c r="BT13" s="286"/>
      <c r="BU13" s="286"/>
      <c r="BV13" s="286"/>
      <c r="BW13" s="286"/>
      <c r="BX13" s="286"/>
      <c r="BY13" s="286"/>
      <c r="BZ13" s="286"/>
      <c r="CA13" s="286"/>
      <c r="CB13" s="286"/>
      <c r="CC13" s="286"/>
      <c r="CD13" s="286"/>
      <c r="CE13" s="286"/>
      <c r="CF13" s="286"/>
      <c r="CG13" s="286"/>
      <c r="CH13" s="286"/>
      <c r="CI13" s="286"/>
      <c r="CJ13" s="286"/>
      <c r="CK13" s="286"/>
      <c r="CL13" s="286"/>
      <c r="CM13" s="286"/>
      <c r="CN13" s="286"/>
      <c r="CO13" s="286"/>
      <c r="CP13" s="286"/>
      <c r="CQ13" s="286"/>
      <c r="CR13" s="286"/>
      <c r="CS13" s="286"/>
      <c r="CT13" s="286"/>
      <c r="CU13" s="286"/>
      <c r="CV13" s="286"/>
      <c r="CW13" s="286"/>
      <c r="CX13" s="286"/>
      <c r="CY13" s="286"/>
      <c r="CZ13" s="286"/>
      <c r="DA13" s="286"/>
      <c r="DB13" s="286"/>
      <c r="DC13" s="286"/>
      <c r="DD13" s="286"/>
      <c r="DE13" s="286"/>
      <c r="DF13" s="286"/>
      <c r="DG13" s="286"/>
      <c r="DH13" s="286"/>
      <c r="DI13" s="286"/>
      <c r="DJ13" s="286"/>
      <c r="DK13" s="286"/>
      <c r="DL13" s="286"/>
      <c r="DM13" s="286"/>
      <c r="DN13" s="286"/>
      <c r="DO13" s="286"/>
      <c r="DP13" s="286"/>
      <c r="DQ13" s="286"/>
    </row>
    <row r="14" spans="1:121" s="287" customFormat="1" ht="15" customHeight="1" thickBot="1" x14ac:dyDescent="0.25">
      <c r="A14" s="696" t="s">
        <v>576</v>
      </c>
      <c r="B14" s="285">
        <f t="shared" ref="B14:AO14" si="0">B10/B11*100</f>
        <v>148.61634190273458</v>
      </c>
      <c r="C14" s="285">
        <f t="shared" si="0"/>
        <v>151.65531443054016</v>
      </c>
      <c r="D14" s="285">
        <f t="shared" si="0"/>
        <v>155.93114241001564</v>
      </c>
      <c r="E14" s="285">
        <f t="shared" si="0"/>
        <v>153.76439326837911</v>
      </c>
      <c r="F14" s="285">
        <f t="shared" si="0"/>
        <v>150.79297649391108</v>
      </c>
      <c r="G14" s="285">
        <f t="shared" si="0"/>
        <v>151.23318385650225</v>
      </c>
      <c r="H14" s="285">
        <f t="shared" si="0"/>
        <v>147.67489431337788</v>
      </c>
      <c r="I14" s="285">
        <f t="shared" si="0"/>
        <v>145.38565629228688</v>
      </c>
      <c r="J14" s="285">
        <f t="shared" si="0"/>
        <v>144.6831364124597</v>
      </c>
      <c r="K14" s="285">
        <f t="shared" si="0"/>
        <v>145.4953172404696</v>
      </c>
      <c r="L14" s="285">
        <f t="shared" si="0"/>
        <v>143.11844461499103</v>
      </c>
      <c r="M14" s="285">
        <f t="shared" si="0"/>
        <v>145.8014309024727</v>
      </c>
      <c r="N14" s="285">
        <f t="shared" si="0"/>
        <v>145.92592592592592</v>
      </c>
      <c r="O14" s="285">
        <f t="shared" si="0"/>
        <v>144.29655575014596</v>
      </c>
      <c r="P14" s="285">
        <f t="shared" si="0"/>
        <v>146.09039548022599</v>
      </c>
      <c r="Q14" s="285">
        <f t="shared" si="0"/>
        <v>143.75403139109869</v>
      </c>
      <c r="R14" s="285">
        <f t="shared" si="0"/>
        <v>143.04429195258891</v>
      </c>
      <c r="S14" s="285">
        <f t="shared" si="0"/>
        <v>142.7741612418628</v>
      </c>
      <c r="T14" s="285">
        <f t="shared" si="0"/>
        <v>140.66386072316817</v>
      </c>
      <c r="U14" s="285">
        <f t="shared" si="0"/>
        <v>137.62770093119971</v>
      </c>
      <c r="V14" s="285">
        <f t="shared" si="0"/>
        <v>137.62496739980875</v>
      </c>
      <c r="W14" s="285">
        <f t="shared" si="0"/>
        <v>136.96944328170784</v>
      </c>
      <c r="X14" s="285">
        <f t="shared" si="0"/>
        <v>138.89527248850953</v>
      </c>
      <c r="Y14" s="285">
        <f t="shared" si="0"/>
        <v>143.70589200722139</v>
      </c>
      <c r="Z14" s="285">
        <f t="shared" si="0"/>
        <v>145.49203525511442</v>
      </c>
      <c r="AA14" s="285">
        <f t="shared" si="0"/>
        <v>149.42850291743267</v>
      </c>
      <c r="AB14" s="285">
        <f t="shared" si="0"/>
        <v>150.99701680012561</v>
      </c>
      <c r="AC14" s="285">
        <f t="shared" si="0"/>
        <v>151.48916622004441</v>
      </c>
      <c r="AD14" s="285">
        <f t="shared" si="0"/>
        <v>154.12996009336646</v>
      </c>
      <c r="AE14" s="285">
        <f t="shared" si="0"/>
        <v>153.75240065002217</v>
      </c>
      <c r="AF14" s="285">
        <f t="shared" si="0"/>
        <v>156.12823495202093</v>
      </c>
      <c r="AG14" s="285">
        <f t="shared" si="0"/>
        <v>158.15135676952818</v>
      </c>
      <c r="AH14" s="285">
        <f t="shared" si="0"/>
        <v>159.55564989740324</v>
      </c>
      <c r="AI14" s="285">
        <f t="shared" si="0"/>
        <v>163.18254911557014</v>
      </c>
      <c r="AJ14" s="285">
        <f t="shared" si="0"/>
        <v>165.6645569620253</v>
      </c>
      <c r="AK14" s="285">
        <f t="shared" si="0"/>
        <v>168.98428464521396</v>
      </c>
      <c r="AL14" s="285">
        <f t="shared" si="0"/>
        <v>169.90938166311301</v>
      </c>
      <c r="AM14" s="285">
        <f t="shared" si="0"/>
        <v>170.28548978522787</v>
      </c>
      <c r="AN14" s="285">
        <f t="shared" si="0"/>
        <v>165.0472416946053</v>
      </c>
      <c r="AO14" s="285">
        <f t="shared" si="0"/>
        <v>158.89323581107899</v>
      </c>
      <c r="AP14" s="285">
        <f t="shared" ref="AP14:AQ14" si="1">AP10/AP11*100</f>
        <v>155.3007217321572</v>
      </c>
      <c r="AQ14" s="285">
        <f t="shared" si="1"/>
        <v>151.19252147549267</v>
      </c>
      <c r="AR14" s="285">
        <f t="shared" ref="AR14:AS14" si="2">AR10/AR11*100</f>
        <v>153.82623267150763</v>
      </c>
      <c r="AS14" s="285">
        <f t="shared" si="2"/>
        <v>158</v>
      </c>
      <c r="AT14" s="286"/>
      <c r="AU14" s="286"/>
      <c r="AV14" s="286"/>
      <c r="AW14" s="286"/>
      <c r="AX14" s="286"/>
      <c r="AY14" s="286"/>
      <c r="AZ14" s="286"/>
      <c r="BA14" s="286"/>
      <c r="BB14" s="286"/>
      <c r="BC14" s="286"/>
      <c r="BD14" s="286"/>
      <c r="BE14" s="286"/>
      <c r="BF14" s="286"/>
      <c r="BG14" s="286"/>
      <c r="BH14" s="286"/>
      <c r="BI14" s="286"/>
      <c r="BJ14" s="286"/>
      <c r="BK14" s="286"/>
      <c r="BL14" s="286"/>
      <c r="BM14" s="286"/>
      <c r="BN14" s="286"/>
      <c r="BO14" s="286"/>
      <c r="BP14" s="286"/>
      <c r="BQ14" s="286"/>
      <c r="BR14" s="286"/>
      <c r="BS14" s="286"/>
      <c r="BT14" s="286"/>
      <c r="BU14" s="286"/>
      <c r="BV14" s="286"/>
      <c r="BW14" s="286"/>
      <c r="BX14" s="286"/>
      <c r="BY14" s="286"/>
      <c r="BZ14" s="286"/>
      <c r="CA14" s="286"/>
      <c r="CB14" s="286"/>
      <c r="CC14" s="286"/>
      <c r="CD14" s="286"/>
      <c r="CE14" s="286"/>
      <c r="CF14" s="286"/>
      <c r="CG14" s="286"/>
      <c r="CH14" s="286"/>
      <c r="CI14" s="286"/>
      <c r="CJ14" s="286"/>
      <c r="CK14" s="286"/>
      <c r="CL14" s="286"/>
      <c r="CM14" s="286"/>
      <c r="CN14" s="286"/>
      <c r="CO14" s="286"/>
      <c r="CP14" s="286"/>
      <c r="CQ14" s="286"/>
      <c r="CR14" s="286"/>
      <c r="CS14" s="286"/>
      <c r="CT14" s="286"/>
      <c r="CU14" s="286"/>
      <c r="CV14" s="286"/>
      <c r="CW14" s="286"/>
      <c r="CX14" s="286"/>
      <c r="CY14" s="286"/>
      <c r="CZ14" s="286"/>
      <c r="DA14" s="286"/>
      <c r="DB14" s="286"/>
      <c r="DC14" s="286"/>
      <c r="DD14" s="286"/>
      <c r="DE14" s="286"/>
      <c r="DF14" s="286"/>
      <c r="DG14" s="286"/>
      <c r="DH14" s="286"/>
      <c r="DI14" s="286"/>
      <c r="DJ14" s="286"/>
      <c r="DK14" s="286"/>
      <c r="DL14" s="286"/>
      <c r="DM14" s="286"/>
      <c r="DN14" s="286"/>
      <c r="DO14" s="286"/>
      <c r="DP14" s="286"/>
      <c r="DQ14" s="286"/>
    </row>
    <row r="15" spans="1:121" s="287" customFormat="1" ht="5.0999999999999996" customHeight="1" thickTop="1" x14ac:dyDescent="0.2">
      <c r="A15" s="563"/>
      <c r="B15" s="286"/>
      <c r="C15" s="286"/>
      <c r="D15" s="286"/>
      <c r="E15" s="286"/>
      <c r="F15" s="286"/>
      <c r="G15" s="286"/>
      <c r="H15" s="286"/>
      <c r="I15" s="286"/>
      <c r="J15" s="286"/>
      <c r="K15" s="286"/>
      <c r="L15" s="286"/>
      <c r="M15" s="286"/>
      <c r="N15" s="286"/>
      <c r="O15" s="286"/>
      <c r="P15" s="286"/>
      <c r="Q15" s="286"/>
      <c r="R15" s="286"/>
      <c r="S15" s="286"/>
      <c r="T15" s="286"/>
      <c r="U15" s="286"/>
      <c r="V15" s="286"/>
      <c r="W15" s="286"/>
      <c r="X15" s="286"/>
      <c r="Y15" s="286"/>
      <c r="Z15" s="286"/>
      <c r="AA15" s="286"/>
      <c r="AB15" s="286"/>
      <c r="AC15" s="286"/>
      <c r="AD15" s="286"/>
      <c r="AE15" s="286"/>
      <c r="AF15" s="286"/>
      <c r="AG15" s="286"/>
      <c r="AH15" s="286"/>
      <c r="AI15" s="286"/>
      <c r="AJ15" s="286"/>
      <c r="AK15" s="286"/>
      <c r="AL15" s="286"/>
      <c r="AM15" s="286"/>
      <c r="AN15" s="286"/>
      <c r="AO15" s="286"/>
      <c r="AP15" s="286"/>
      <c r="AQ15" s="286"/>
      <c r="AR15" s="286"/>
      <c r="AS15" s="286"/>
      <c r="AT15" s="286"/>
      <c r="AU15" s="286"/>
      <c r="AV15" s="286"/>
      <c r="AW15" s="286"/>
      <c r="AX15" s="286"/>
      <c r="AY15" s="286"/>
      <c r="AZ15" s="286"/>
      <c r="BA15" s="286"/>
      <c r="BB15" s="286"/>
      <c r="BC15" s="286"/>
      <c r="BD15" s="286"/>
      <c r="BE15" s="286"/>
      <c r="BF15" s="286"/>
      <c r="BG15" s="286"/>
      <c r="BH15" s="286"/>
      <c r="BI15" s="286"/>
      <c r="BJ15" s="286"/>
      <c r="BK15" s="286"/>
      <c r="BL15" s="286"/>
      <c r="BM15" s="286"/>
      <c r="BN15" s="286"/>
      <c r="BO15" s="286"/>
      <c r="BP15" s="286"/>
      <c r="BQ15" s="286"/>
      <c r="BR15" s="286"/>
      <c r="BS15" s="286"/>
      <c r="BT15" s="286"/>
      <c r="BU15" s="286"/>
      <c r="BV15" s="286"/>
      <c r="BW15" s="286"/>
      <c r="BX15" s="286"/>
      <c r="BY15" s="286"/>
      <c r="BZ15" s="286"/>
      <c r="CA15" s="286"/>
      <c r="CB15" s="286"/>
      <c r="CC15" s="286"/>
      <c r="CD15" s="286"/>
      <c r="CE15" s="286"/>
      <c r="CF15" s="286"/>
      <c r="CG15" s="286"/>
      <c r="CH15" s="286"/>
      <c r="CI15" s="286"/>
      <c r="CJ15" s="286"/>
      <c r="CK15" s="286"/>
      <c r="CL15" s="286"/>
      <c r="CM15" s="286"/>
      <c r="CN15" s="286"/>
      <c r="CO15" s="286"/>
      <c r="CP15" s="286"/>
      <c r="CQ15" s="286"/>
      <c r="CR15" s="286"/>
      <c r="CS15" s="286"/>
      <c r="CT15" s="286"/>
      <c r="CU15" s="286"/>
      <c r="CV15" s="286"/>
      <c r="CW15" s="286"/>
      <c r="CX15" s="286"/>
      <c r="CY15" s="286"/>
      <c r="CZ15" s="286"/>
      <c r="DA15" s="286"/>
      <c r="DB15" s="286"/>
      <c r="DC15" s="286"/>
      <c r="DD15" s="286"/>
      <c r="DE15" s="286"/>
      <c r="DF15" s="286"/>
      <c r="DG15" s="286"/>
      <c r="DH15" s="286"/>
      <c r="DI15" s="286"/>
      <c r="DJ15" s="286"/>
      <c r="DK15" s="286"/>
      <c r="DL15" s="286"/>
      <c r="DM15" s="286"/>
      <c r="DN15" s="286"/>
      <c r="DO15" s="286"/>
      <c r="DP15" s="286"/>
      <c r="DQ15" s="286"/>
    </row>
    <row r="16" spans="1:121" s="287" customFormat="1" ht="15" customHeight="1" thickBot="1" x14ac:dyDescent="0.25">
      <c r="A16" s="696" t="s">
        <v>577</v>
      </c>
      <c r="B16" s="285">
        <f t="shared" ref="B16:AO16" si="3">B10/B12*100</f>
        <v>143.92641928322232</v>
      </c>
      <c r="C16" s="285">
        <f t="shared" si="3"/>
        <v>145.32483302975106</v>
      </c>
      <c r="D16" s="285">
        <f t="shared" si="3"/>
        <v>145.73643410852713</v>
      </c>
      <c r="E16" s="285">
        <f t="shared" si="3"/>
        <v>146.27159106867015</v>
      </c>
      <c r="F16" s="285">
        <f t="shared" si="3"/>
        <v>143.98323418063819</v>
      </c>
      <c r="G16" s="285">
        <f t="shared" si="3"/>
        <v>139.9740596627756</v>
      </c>
      <c r="H16" s="285">
        <f t="shared" si="3"/>
        <v>134.55516898608352</v>
      </c>
      <c r="I16" s="285">
        <f t="shared" si="3"/>
        <v>129.33670398459131</v>
      </c>
      <c r="J16" s="285">
        <f t="shared" si="3"/>
        <v>125.52125800815375</v>
      </c>
      <c r="K16" s="285">
        <f t="shared" si="3"/>
        <v>125.11343012704175</v>
      </c>
      <c r="L16" s="285">
        <f t="shared" si="3"/>
        <v>123.7037037037037</v>
      </c>
      <c r="M16" s="285">
        <f t="shared" si="3"/>
        <v>122.36384704519119</v>
      </c>
      <c r="N16" s="285">
        <f t="shared" si="3"/>
        <v>120.35052578868302</v>
      </c>
      <c r="O16" s="285">
        <f t="shared" si="3"/>
        <v>117.81696854146806</v>
      </c>
      <c r="P16" s="285">
        <f t="shared" si="3"/>
        <v>117.31240359314037</v>
      </c>
      <c r="Q16" s="285">
        <f t="shared" si="3"/>
        <v>115.95560180367673</v>
      </c>
      <c r="R16" s="285">
        <f t="shared" si="3"/>
        <v>114.41164241164242</v>
      </c>
      <c r="S16" s="285">
        <f t="shared" si="3"/>
        <v>114.35905663404459</v>
      </c>
      <c r="T16" s="285">
        <f t="shared" si="3"/>
        <v>113.28094907942376</v>
      </c>
      <c r="U16" s="285">
        <f t="shared" si="3"/>
        <v>113.55363270177531</v>
      </c>
      <c r="V16" s="285">
        <f t="shared" si="3"/>
        <v>115.8337601521914</v>
      </c>
      <c r="W16" s="285">
        <f t="shared" si="3"/>
        <v>117.45997559049466</v>
      </c>
      <c r="X16" s="285">
        <f t="shared" si="3"/>
        <v>120.11498332032082</v>
      </c>
      <c r="Y16" s="285">
        <f t="shared" si="3"/>
        <v>123.65485100974438</v>
      </c>
      <c r="Z16" s="285">
        <f t="shared" si="3"/>
        <v>126.56865503657851</v>
      </c>
      <c r="AA16" s="285">
        <f t="shared" si="3"/>
        <v>130.25151536264195</v>
      </c>
      <c r="AB16" s="285">
        <f t="shared" si="3"/>
        <v>133.39343921215064</v>
      </c>
      <c r="AC16" s="285">
        <f t="shared" si="3"/>
        <v>136.34233737596472</v>
      </c>
      <c r="AD16" s="285">
        <f t="shared" si="3"/>
        <v>140.75500240665613</v>
      </c>
      <c r="AE16" s="285">
        <f t="shared" si="3"/>
        <v>143.15680880330123</v>
      </c>
      <c r="AF16" s="285">
        <f t="shared" si="3"/>
        <v>147.74024901974272</v>
      </c>
      <c r="AG16" s="285">
        <f t="shared" si="3"/>
        <v>148.76751077586206</v>
      </c>
      <c r="AH16" s="285">
        <f t="shared" si="3"/>
        <v>150.32331177921472</v>
      </c>
      <c r="AI16" s="285">
        <f t="shared" si="3"/>
        <v>152.03230849400728</v>
      </c>
      <c r="AJ16" s="285">
        <f t="shared" si="3"/>
        <v>151.22456669178598</v>
      </c>
      <c r="AK16" s="285">
        <f t="shared" si="3"/>
        <v>152.02276761123693</v>
      </c>
      <c r="AL16" s="285">
        <f t="shared" si="3"/>
        <v>151.64129400570886</v>
      </c>
      <c r="AM16" s="285">
        <f t="shared" si="3"/>
        <v>151.55011655011654</v>
      </c>
      <c r="AN16" s="285">
        <f t="shared" si="3"/>
        <v>147.98054325845766</v>
      </c>
      <c r="AO16" s="285">
        <f t="shared" si="3"/>
        <v>146.46179575624544</v>
      </c>
      <c r="AP16" s="285">
        <f t="shared" ref="AP16:AQ16" si="4">AP10/AP12*100</f>
        <v>146.18055555555557</v>
      </c>
      <c r="AQ16" s="285">
        <f t="shared" si="4"/>
        <v>145.95609756097559</v>
      </c>
      <c r="AR16" s="285">
        <f t="shared" ref="AR16:AS16" si="5">AR10/AR12*100</f>
        <v>150.017332739068</v>
      </c>
      <c r="AS16" s="285">
        <f t="shared" si="5"/>
        <v>153.11599244607891</v>
      </c>
      <c r="AT16" s="286"/>
      <c r="AU16" s="286"/>
      <c r="AV16" s="286"/>
      <c r="AW16" s="286"/>
      <c r="AX16" s="286"/>
      <c r="AY16" s="286"/>
      <c r="AZ16" s="286"/>
      <c r="BA16" s="286"/>
      <c r="BB16" s="286"/>
      <c r="BC16" s="286"/>
      <c r="BD16" s="286"/>
      <c r="BE16" s="286"/>
      <c r="BF16" s="286"/>
      <c r="BG16" s="286"/>
      <c r="BH16" s="286"/>
      <c r="BI16" s="286"/>
      <c r="BJ16" s="286"/>
      <c r="BK16" s="286"/>
      <c r="BL16" s="286"/>
      <c r="BM16" s="286"/>
      <c r="BN16" s="286"/>
      <c r="BO16" s="286"/>
      <c r="BP16" s="286"/>
      <c r="BQ16" s="286"/>
      <c r="BR16" s="286"/>
      <c r="BS16" s="286"/>
      <c r="BT16" s="286"/>
      <c r="BU16" s="286"/>
      <c r="BV16" s="286"/>
      <c r="BW16" s="286"/>
      <c r="BX16" s="286"/>
      <c r="BY16" s="286"/>
      <c r="BZ16" s="286"/>
      <c r="CA16" s="286"/>
      <c r="CB16" s="286"/>
      <c r="CC16" s="286"/>
      <c r="CD16" s="286"/>
      <c r="CE16" s="286"/>
      <c r="CF16" s="286"/>
      <c r="CG16" s="286"/>
      <c r="CH16" s="286"/>
      <c r="CI16" s="286"/>
      <c r="CJ16" s="286"/>
      <c r="CK16" s="286"/>
      <c r="CL16" s="286"/>
      <c r="CM16" s="286"/>
      <c r="CN16" s="286"/>
      <c r="CO16" s="286"/>
      <c r="CP16" s="286"/>
      <c r="CQ16" s="286"/>
      <c r="CR16" s="286"/>
      <c r="CS16" s="286"/>
      <c r="CT16" s="286"/>
      <c r="CU16" s="286"/>
      <c r="CV16" s="286"/>
      <c r="CW16" s="286"/>
      <c r="CX16" s="286"/>
      <c r="CY16" s="286"/>
      <c r="CZ16" s="286"/>
      <c r="DA16" s="286"/>
      <c r="DB16" s="286"/>
      <c r="DC16" s="286"/>
      <c r="DD16" s="286"/>
      <c r="DE16" s="286"/>
      <c r="DF16" s="286"/>
      <c r="DG16" s="286"/>
      <c r="DH16" s="286"/>
      <c r="DI16" s="286"/>
      <c r="DJ16" s="286"/>
      <c r="DK16" s="286"/>
      <c r="DL16" s="286"/>
      <c r="DM16" s="286"/>
      <c r="DN16" s="286"/>
      <c r="DO16" s="286"/>
      <c r="DP16" s="286"/>
      <c r="DQ16" s="286"/>
    </row>
    <row r="17" spans="1:121" s="287" customFormat="1" ht="5.0999999999999996" customHeight="1" thickTop="1" x14ac:dyDescent="0.2">
      <c r="A17" s="563"/>
      <c r="B17" s="286"/>
      <c r="C17" s="286"/>
      <c r="D17" s="286"/>
      <c r="E17" s="286"/>
      <c r="F17" s="286"/>
      <c r="G17" s="286"/>
      <c r="H17" s="286"/>
      <c r="I17" s="286"/>
      <c r="J17" s="286"/>
      <c r="K17" s="286"/>
      <c r="L17" s="286"/>
      <c r="M17" s="286"/>
      <c r="N17" s="286"/>
      <c r="O17" s="286"/>
      <c r="P17" s="286"/>
      <c r="Q17" s="286"/>
      <c r="R17" s="286"/>
      <c r="S17" s="286"/>
      <c r="T17" s="286"/>
      <c r="U17" s="286"/>
      <c r="V17" s="286"/>
      <c r="W17" s="286"/>
      <c r="X17" s="286"/>
      <c r="Y17" s="286"/>
      <c r="Z17" s="286"/>
      <c r="AA17" s="286"/>
      <c r="AB17" s="286"/>
      <c r="AC17" s="286"/>
      <c r="AD17" s="286"/>
      <c r="AE17" s="286"/>
      <c r="AF17" s="286"/>
      <c r="AG17" s="286"/>
      <c r="AH17" s="286"/>
      <c r="AI17" s="286"/>
      <c r="AJ17" s="286"/>
      <c r="AK17" s="286"/>
      <c r="AL17" s="286"/>
      <c r="AM17" s="286"/>
      <c r="AN17" s="286"/>
      <c r="AO17" s="286"/>
      <c r="AP17" s="286"/>
      <c r="AQ17" s="286"/>
      <c r="AR17" s="286"/>
      <c r="AS17" s="286"/>
      <c r="AT17" s="286"/>
      <c r="AU17" s="286"/>
      <c r="AV17" s="286"/>
      <c r="AW17" s="286"/>
      <c r="AX17" s="286"/>
      <c r="AY17" s="286"/>
      <c r="AZ17" s="286"/>
      <c r="BA17" s="286"/>
      <c r="BB17" s="286"/>
      <c r="BC17" s="286"/>
      <c r="BD17" s="286"/>
      <c r="BE17" s="286"/>
      <c r="BF17" s="286"/>
      <c r="BG17" s="286"/>
      <c r="BH17" s="286"/>
      <c r="BI17" s="286"/>
      <c r="BJ17" s="286"/>
      <c r="BK17" s="286"/>
      <c r="BL17" s="286"/>
      <c r="BM17" s="286"/>
      <c r="BN17" s="286"/>
      <c r="BO17" s="286"/>
      <c r="BP17" s="286"/>
      <c r="BQ17" s="286"/>
      <c r="BR17" s="286"/>
      <c r="BS17" s="286"/>
      <c r="BT17" s="286"/>
      <c r="BU17" s="286"/>
      <c r="BV17" s="286"/>
      <c r="BW17" s="286"/>
      <c r="BX17" s="286"/>
      <c r="BY17" s="286"/>
      <c r="BZ17" s="286"/>
      <c r="CA17" s="286"/>
      <c r="CB17" s="286"/>
      <c r="CC17" s="286"/>
      <c r="CD17" s="286"/>
      <c r="CE17" s="286"/>
      <c r="CF17" s="286"/>
      <c r="CG17" s="286"/>
      <c r="CH17" s="286"/>
      <c r="CI17" s="286"/>
      <c r="CJ17" s="286"/>
      <c r="CK17" s="286"/>
      <c r="CL17" s="286"/>
      <c r="CM17" s="286"/>
      <c r="CN17" s="286"/>
      <c r="CO17" s="286"/>
      <c r="CP17" s="286"/>
      <c r="CQ17" s="286"/>
      <c r="CR17" s="286"/>
      <c r="CS17" s="286"/>
      <c r="CT17" s="286"/>
      <c r="CU17" s="286"/>
      <c r="CV17" s="286"/>
      <c r="CW17" s="286"/>
      <c r="CX17" s="286"/>
      <c r="CY17" s="286"/>
      <c r="CZ17" s="286"/>
      <c r="DA17" s="286"/>
      <c r="DB17" s="286"/>
      <c r="DC17" s="286"/>
      <c r="DD17" s="286"/>
      <c r="DE17" s="286"/>
      <c r="DF17" s="286"/>
      <c r="DG17" s="286"/>
      <c r="DH17" s="286"/>
      <c r="DI17" s="286"/>
      <c r="DJ17" s="286"/>
      <c r="DK17" s="286"/>
      <c r="DL17" s="286"/>
      <c r="DM17" s="286"/>
      <c r="DN17" s="286"/>
      <c r="DO17" s="286"/>
      <c r="DP17" s="286"/>
      <c r="DQ17" s="286"/>
    </row>
    <row r="18" spans="1:121" s="287" customFormat="1" ht="28.5" customHeight="1" thickBot="1" x14ac:dyDescent="0.25">
      <c r="A18" s="697" t="s">
        <v>578</v>
      </c>
      <c r="B18" s="285">
        <f t="shared" ref="B18:AO18" si="6">B10/(B11+B12)*100</f>
        <v>73.11689357931202</v>
      </c>
      <c r="C18" s="285">
        <f t="shared" si="6"/>
        <v>74.211301449500027</v>
      </c>
      <c r="D18" s="285">
        <f t="shared" si="6"/>
        <v>75.330762833597944</v>
      </c>
      <c r="E18" s="285">
        <f t="shared" si="6"/>
        <v>74.962216624685141</v>
      </c>
      <c r="F18" s="285">
        <f t="shared" si="6"/>
        <v>73.654724028219675</v>
      </c>
      <c r="G18" s="285">
        <f t="shared" si="6"/>
        <v>72.692981274417363</v>
      </c>
      <c r="H18" s="285">
        <f t="shared" si="6"/>
        <v>70.405045185618619</v>
      </c>
      <c r="I18" s="285">
        <f t="shared" si="6"/>
        <v>68.446199910810975</v>
      </c>
      <c r="J18" s="285">
        <f t="shared" si="6"/>
        <v>67.211376535894715</v>
      </c>
      <c r="K18" s="285">
        <f t="shared" si="6"/>
        <v>67.268402756601816</v>
      </c>
      <c r="L18" s="285">
        <f t="shared" si="6"/>
        <v>66.352369092095117</v>
      </c>
      <c r="M18" s="285">
        <f t="shared" si="6"/>
        <v>66.529209621993118</v>
      </c>
      <c r="N18" s="285">
        <f t="shared" si="6"/>
        <v>65.954994511525797</v>
      </c>
      <c r="O18" s="285">
        <f t="shared" si="6"/>
        <v>64.859616898451861</v>
      </c>
      <c r="P18" s="285">
        <f t="shared" si="6"/>
        <v>65.064667102813146</v>
      </c>
      <c r="Q18" s="285">
        <f t="shared" si="6"/>
        <v>64.18354612652395</v>
      </c>
      <c r="R18" s="285">
        <f t="shared" si="6"/>
        <v>63.567897241602367</v>
      </c>
      <c r="S18" s="285">
        <f t="shared" si="6"/>
        <v>63.498285154336109</v>
      </c>
      <c r="T18" s="285">
        <f t="shared" si="6"/>
        <v>62.748026456155323</v>
      </c>
      <c r="U18" s="285">
        <f t="shared" si="6"/>
        <v>62.218498385580581</v>
      </c>
      <c r="V18" s="285">
        <f t="shared" si="6"/>
        <v>62.896305125148984</v>
      </c>
      <c r="W18" s="285">
        <f t="shared" si="6"/>
        <v>63.233361675813562</v>
      </c>
      <c r="X18" s="285">
        <f t="shared" si="6"/>
        <v>64.412134130095538</v>
      </c>
      <c r="Y18" s="285">
        <f t="shared" si="6"/>
        <v>66.464247760740861</v>
      </c>
      <c r="Z18" s="285">
        <f t="shared" si="6"/>
        <v>67.686115186397316</v>
      </c>
      <c r="AA18" s="285">
        <f t="shared" si="6"/>
        <v>69.591274568195345</v>
      </c>
      <c r="AB18" s="285">
        <f t="shared" si="6"/>
        <v>70.825201605479251</v>
      </c>
      <c r="AC18" s="285">
        <f t="shared" si="6"/>
        <v>71.75860443187176</v>
      </c>
      <c r="AD18" s="285">
        <f t="shared" si="6"/>
        <v>73.569580218516379</v>
      </c>
      <c r="AE18" s="285">
        <f t="shared" si="6"/>
        <v>74.132772989529172</v>
      </c>
      <c r="AF18" s="285">
        <f t="shared" si="6"/>
        <v>75.909235499946988</v>
      </c>
      <c r="AG18" s="285">
        <f t="shared" si="6"/>
        <v>76.657990629880274</v>
      </c>
      <c r="AH18" s="285">
        <f t="shared" si="6"/>
        <v>77.400974806068518</v>
      </c>
      <c r="AI18" s="285">
        <f t="shared" si="6"/>
        <v>78.705108750632263</v>
      </c>
      <c r="AJ18" s="285">
        <f t="shared" si="6"/>
        <v>79.057780695994751</v>
      </c>
      <c r="AK18" s="285">
        <f t="shared" si="6"/>
        <v>80.027707970874403</v>
      </c>
      <c r="AL18" s="285">
        <f t="shared" si="6"/>
        <v>80.128205128205138</v>
      </c>
      <c r="AM18" s="285">
        <f t="shared" si="6"/>
        <v>80.186235816477563</v>
      </c>
      <c r="AN18" s="285">
        <f t="shared" si="6"/>
        <v>78.024321364762841</v>
      </c>
      <c r="AO18" s="285">
        <f t="shared" si="6"/>
        <v>76.212232465801861</v>
      </c>
      <c r="AP18" s="285">
        <f t="shared" ref="AP18:AQ18" si="7">AP10/(AP11+AP12)*100</f>
        <v>75.3013453612256</v>
      </c>
      <c r="AQ18" s="285">
        <f t="shared" si="7"/>
        <v>74.264085380987837</v>
      </c>
      <c r="AR18" s="285">
        <f t="shared" ref="AR18:AS18" si="8">AR10/(AR11+AR12)*100</f>
        <v>75.948954520383097</v>
      </c>
      <c r="AS18" s="285">
        <f t="shared" si="8"/>
        <v>77.759830397254049</v>
      </c>
      <c r="AT18" s="286"/>
      <c r="AU18" s="286"/>
      <c r="AV18" s="286"/>
      <c r="AW18" s="286"/>
      <c r="AX18" s="286"/>
      <c r="AY18" s="286"/>
      <c r="AZ18" s="286"/>
      <c r="BA18" s="286"/>
      <c r="BB18" s="286"/>
      <c r="BC18" s="286"/>
      <c r="BD18" s="286"/>
      <c r="BE18" s="286"/>
      <c r="BF18" s="286"/>
      <c r="BG18" s="286"/>
      <c r="BH18" s="286"/>
      <c r="BI18" s="286"/>
      <c r="BJ18" s="286"/>
      <c r="BK18" s="286"/>
      <c r="BL18" s="286"/>
      <c r="BM18" s="286"/>
      <c r="BN18" s="286"/>
      <c r="BO18" s="286"/>
      <c r="BP18" s="286"/>
      <c r="BQ18" s="286"/>
      <c r="BR18" s="286"/>
      <c r="BS18" s="286"/>
      <c r="BT18" s="286"/>
      <c r="BU18" s="286"/>
      <c r="BV18" s="286"/>
      <c r="BW18" s="286"/>
      <c r="BX18" s="286"/>
      <c r="BY18" s="286"/>
      <c r="BZ18" s="286"/>
      <c r="CA18" s="286"/>
      <c r="CB18" s="286"/>
      <c r="CC18" s="286"/>
      <c r="CD18" s="286"/>
      <c r="CE18" s="286"/>
      <c r="CF18" s="286"/>
      <c r="CG18" s="286"/>
      <c r="CH18" s="286"/>
      <c r="CI18" s="286"/>
      <c r="CJ18" s="286"/>
      <c r="CK18" s="286"/>
      <c r="CL18" s="286"/>
      <c r="CM18" s="286"/>
      <c r="CN18" s="286"/>
      <c r="CO18" s="286"/>
      <c r="CP18" s="286"/>
      <c r="CQ18" s="286"/>
      <c r="CR18" s="286"/>
      <c r="CS18" s="286"/>
      <c r="CT18" s="286"/>
      <c r="CU18" s="286"/>
      <c r="CV18" s="286"/>
      <c r="CW18" s="286"/>
      <c r="CX18" s="286"/>
      <c r="CY18" s="286"/>
      <c r="CZ18" s="286"/>
      <c r="DA18" s="286"/>
      <c r="DB18" s="286"/>
      <c r="DC18" s="286"/>
      <c r="DD18" s="286"/>
      <c r="DE18" s="286"/>
      <c r="DF18" s="286"/>
      <c r="DG18" s="286"/>
      <c r="DH18" s="286"/>
      <c r="DI18" s="286"/>
      <c r="DJ18" s="286"/>
      <c r="DK18" s="286"/>
      <c r="DL18" s="286"/>
      <c r="DM18" s="286"/>
      <c r="DN18" s="286"/>
      <c r="DO18" s="286"/>
      <c r="DP18" s="286"/>
      <c r="DQ18" s="286"/>
    </row>
    <row r="19" spans="1:121" s="13" customFormat="1" ht="15" customHeight="1" thickTop="1" x14ac:dyDescent="0.2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</row>
    <row r="20" spans="1:121" s="13" customFormat="1" ht="15" customHeight="1" x14ac:dyDescent="0.2"/>
    <row r="21" spans="1:121" s="13" customFormat="1" ht="15" customHeight="1" x14ac:dyDescent="0.2"/>
    <row r="22" spans="1:121" s="13" customFormat="1" ht="15" customHeight="1" x14ac:dyDescent="0.2"/>
    <row r="23" spans="1:121" s="13" customFormat="1" ht="15" customHeight="1" x14ac:dyDescent="0.2"/>
    <row r="24" spans="1:121" s="13" customFormat="1" ht="15" customHeight="1" x14ac:dyDescent="0.2"/>
    <row r="25" spans="1:121" s="13" customFormat="1" ht="15" customHeight="1" x14ac:dyDescent="0.2"/>
    <row r="26" spans="1:121" s="13" customFormat="1" ht="15" customHeight="1" x14ac:dyDescent="0.2"/>
    <row r="27" spans="1:121" s="13" customFormat="1" ht="15" customHeight="1" x14ac:dyDescent="0.2"/>
    <row r="28" spans="1:121" s="13" customFormat="1" ht="15" customHeight="1" x14ac:dyDescent="0.2"/>
    <row r="29" spans="1:121" s="13" customFormat="1" ht="15" customHeight="1" x14ac:dyDescent="0.2"/>
    <row r="30" spans="1:121" s="13" customFormat="1" ht="15" customHeight="1" x14ac:dyDescent="0.2"/>
    <row r="31" spans="1:121" s="13" customFormat="1" ht="15" customHeight="1" x14ac:dyDescent="0.2"/>
    <row r="32" spans="1:121" s="13" customFormat="1" ht="15" customHeight="1" x14ac:dyDescent="0.2"/>
    <row r="33" s="13" customFormat="1" ht="15" customHeight="1" x14ac:dyDescent="0.2"/>
    <row r="34" s="13" customFormat="1" ht="15" customHeight="1" x14ac:dyDescent="0.2"/>
    <row r="35" s="13" customFormat="1" ht="15" customHeight="1" x14ac:dyDescent="0.2"/>
    <row r="36" s="13" customFormat="1" ht="15" customHeight="1" x14ac:dyDescent="0.2"/>
    <row r="37" s="13" customFormat="1" ht="15" customHeight="1" x14ac:dyDescent="0.2"/>
    <row r="38" s="13" customFormat="1" ht="15" customHeight="1" x14ac:dyDescent="0.2"/>
    <row r="39" s="13" customFormat="1" ht="15" customHeight="1" x14ac:dyDescent="0.2"/>
    <row r="40" s="13" customFormat="1" ht="15" customHeight="1" x14ac:dyDescent="0.2"/>
    <row r="41" s="13" customFormat="1" ht="15" customHeight="1" x14ac:dyDescent="0.2"/>
    <row r="42" s="13" customFormat="1" ht="15" customHeight="1" x14ac:dyDescent="0.2"/>
    <row r="43" s="13" customFormat="1" ht="15" customHeight="1" x14ac:dyDescent="0.2"/>
    <row r="44" s="13" customFormat="1" ht="15" customHeight="1" x14ac:dyDescent="0.2"/>
    <row r="45" s="13" customFormat="1" ht="15" customHeight="1" x14ac:dyDescent="0.2"/>
    <row r="46" s="13" customFormat="1" ht="15" customHeight="1" x14ac:dyDescent="0.2"/>
    <row r="47" s="13" customFormat="1" ht="15" customHeight="1" x14ac:dyDescent="0.2"/>
    <row r="48" s="13" customFormat="1" ht="15" customHeight="1" x14ac:dyDescent="0.2"/>
    <row r="49" s="13" customFormat="1" ht="15" customHeight="1" x14ac:dyDescent="0.2"/>
    <row r="50" s="13" customFormat="1" ht="15" customHeight="1" x14ac:dyDescent="0.2"/>
    <row r="51" s="13" customFormat="1" ht="15" customHeight="1" x14ac:dyDescent="0.2"/>
    <row r="52" s="13" customFormat="1" ht="15" customHeight="1" x14ac:dyDescent="0.2"/>
    <row r="53" s="13" customFormat="1" ht="15" customHeight="1" x14ac:dyDescent="0.2"/>
    <row r="54" s="13" customFormat="1" ht="15" customHeight="1" x14ac:dyDescent="0.2"/>
    <row r="55" s="13" customFormat="1" ht="15" customHeight="1" x14ac:dyDescent="0.2"/>
    <row r="56" s="13" customFormat="1" ht="15" customHeight="1" x14ac:dyDescent="0.2"/>
    <row r="57" s="13" customFormat="1" ht="15" customHeight="1" x14ac:dyDescent="0.2"/>
    <row r="58" s="13" customFormat="1" ht="15" customHeight="1" x14ac:dyDescent="0.2"/>
    <row r="59" s="13" customFormat="1" ht="15" customHeight="1" x14ac:dyDescent="0.2"/>
    <row r="60" s="13" customFormat="1" ht="15" customHeight="1" x14ac:dyDescent="0.2"/>
    <row r="61" s="13" customFormat="1" ht="15" customHeight="1" x14ac:dyDescent="0.2"/>
    <row r="62" s="13" customFormat="1" ht="15" customHeight="1" x14ac:dyDescent="0.2"/>
    <row r="63" s="13" customFormat="1" ht="15" customHeight="1" x14ac:dyDescent="0.2"/>
    <row r="64" s="13" customFormat="1" ht="15" customHeight="1" x14ac:dyDescent="0.2"/>
    <row r="65" s="13" customFormat="1" ht="15" customHeight="1" x14ac:dyDescent="0.2"/>
    <row r="66" s="13" customFormat="1" ht="15" customHeight="1" x14ac:dyDescent="0.2"/>
    <row r="67" s="13" customFormat="1" ht="15" customHeight="1" x14ac:dyDescent="0.2"/>
    <row r="68" s="13" customFormat="1" ht="15" customHeight="1" x14ac:dyDescent="0.2"/>
    <row r="69" s="13" customFormat="1" ht="15" customHeight="1" x14ac:dyDescent="0.2"/>
    <row r="70" s="13" customFormat="1" ht="15" customHeight="1" x14ac:dyDescent="0.2"/>
    <row r="71" s="13" customFormat="1" ht="15" customHeight="1" x14ac:dyDescent="0.2"/>
    <row r="72" s="13" customFormat="1" ht="15" customHeight="1" x14ac:dyDescent="0.2"/>
    <row r="73" s="13" customFormat="1" ht="15" customHeight="1" x14ac:dyDescent="0.2"/>
    <row r="74" s="13" customFormat="1" ht="15" customHeight="1" x14ac:dyDescent="0.2"/>
    <row r="75" s="13" customFormat="1" ht="15" customHeight="1" x14ac:dyDescent="0.2"/>
    <row r="76" s="13" customFormat="1" ht="15" customHeight="1" x14ac:dyDescent="0.2"/>
    <row r="77" s="13" customFormat="1" ht="15" customHeight="1" x14ac:dyDescent="0.2"/>
    <row r="78" s="13" customFormat="1" ht="15" customHeight="1" x14ac:dyDescent="0.2"/>
    <row r="79" s="13" customFormat="1" ht="15" customHeight="1" x14ac:dyDescent="0.2"/>
    <row r="80" s="13" customFormat="1" ht="15" customHeight="1" x14ac:dyDescent="0.2"/>
    <row r="81" s="13" customFormat="1" ht="15" customHeight="1" x14ac:dyDescent="0.2"/>
    <row r="82" s="13" customFormat="1" ht="15" customHeight="1" x14ac:dyDescent="0.2"/>
    <row r="83" s="13" customFormat="1" ht="15" customHeight="1" x14ac:dyDescent="0.2"/>
    <row r="84" s="13" customFormat="1" ht="15" customHeight="1" x14ac:dyDescent="0.2"/>
    <row r="85" s="13" customFormat="1" ht="15" customHeight="1" x14ac:dyDescent="0.2"/>
    <row r="86" s="13" customFormat="1" ht="15" customHeight="1" x14ac:dyDescent="0.2"/>
    <row r="87" s="13" customFormat="1" ht="15" customHeight="1" x14ac:dyDescent="0.2"/>
    <row r="88" s="13" customFormat="1" ht="15" customHeight="1" x14ac:dyDescent="0.2"/>
    <row r="89" s="13" customFormat="1" ht="15" customHeight="1" x14ac:dyDescent="0.2"/>
    <row r="90" s="13" customFormat="1" ht="15" customHeight="1" x14ac:dyDescent="0.2"/>
    <row r="91" s="13" customFormat="1" ht="15" customHeight="1" x14ac:dyDescent="0.2"/>
    <row r="92" s="13" customFormat="1" ht="15" customHeight="1" x14ac:dyDescent="0.2"/>
    <row r="93" s="13" customFormat="1" ht="15" customHeight="1" x14ac:dyDescent="0.2"/>
    <row r="94" s="13" customFormat="1" ht="15" customHeight="1" x14ac:dyDescent="0.2"/>
    <row r="95" s="13" customFormat="1" ht="15" customHeight="1" x14ac:dyDescent="0.2"/>
    <row r="96" s="13" customFormat="1" ht="15" customHeight="1" x14ac:dyDescent="0.2"/>
    <row r="97" s="13" customFormat="1" ht="15" customHeight="1" x14ac:dyDescent="0.2"/>
    <row r="98" s="13" customFormat="1" ht="15" customHeight="1" x14ac:dyDescent="0.2"/>
    <row r="99" s="13" customFormat="1" ht="15" customHeight="1" x14ac:dyDescent="0.2"/>
    <row r="100" s="13" customFormat="1" ht="15" customHeight="1" x14ac:dyDescent="0.2"/>
    <row r="101" s="13" customFormat="1" ht="15" customHeight="1" x14ac:dyDescent="0.2"/>
    <row r="102" s="13" customFormat="1" ht="15" customHeight="1" x14ac:dyDescent="0.2"/>
    <row r="103" s="13" customFormat="1" ht="15" customHeight="1" x14ac:dyDescent="0.2"/>
  </sheetData>
  <customSheetViews>
    <customSheetView guid="{B7440494-8EA9-4463-9947-E5D20E74049D}" showGridLines="0">
      <pane xSplit="1" ySplit="10" topLeftCell="AG11" activePane="bottomRight" state="frozen"/>
      <selection pane="bottomRight" activeCell="AO6" sqref="AO6"/>
      <colBreaks count="4" manualBreakCount="4">
        <brk id="9" min="1" max="19" man="1"/>
        <brk id="17" min="1" max="19" man="1"/>
        <brk id="25" min="1" max="19" man="1"/>
        <brk id="33" min="1" max="19" man="1"/>
      </colBreaks>
      <pageMargins left="0" right="0" top="0.78740157480314965" bottom="0" header="0" footer="0"/>
      <printOptions horizontalCentered="1"/>
      <pageSetup paperSize="9" orientation="landscape" horizontalDpi="1200" verticalDpi="1200" r:id="rId1"/>
      <headerFooter alignWithMargins="0">
        <oddHeader>&amp;R&amp;P/&amp;N</oddHeader>
      </headerFooter>
    </customSheetView>
    <customSheetView guid="{6D89F6EF-F5AD-478F-979A-5AF1BC78EF91}" showGridLines="0">
      <pane xSplit="2" ySplit="8" topLeftCell="C9" activePane="bottomRight" state="frozen"/>
      <selection pane="bottomRight" activeCell="C9" sqref="C9"/>
      <colBreaks count="2" manualBreakCount="2">
        <brk id="25" max="18" man="1"/>
        <brk id="42" max="35" man="1"/>
      </colBreaks>
      <pageMargins left="0" right="0" top="1.3779527559055118" bottom="0" header="0" footer="0"/>
      <printOptions horizontalCentered="1"/>
      <pageSetup paperSize="9" orientation="landscape" horizontalDpi="1200" verticalDpi="1200" r:id="rId2"/>
      <headerFooter alignWithMargins="0"/>
    </customSheetView>
    <customSheetView guid="{A9134056-6B1C-4A42-AFE9-9712EF3EF3D4}" showPageBreaks="1" showGridLines="0" printArea="1">
      <pane xSplit="2" ySplit="8" topLeftCell="C9" activePane="bottomRight" state="frozen"/>
      <selection pane="bottomRight" activeCell="C9" sqref="C9"/>
      <colBreaks count="4" manualBreakCount="4">
        <brk id="11" min="1" max="19" man="1"/>
        <brk id="21" min="1" max="19" man="1"/>
        <brk id="25" max="18" man="1"/>
        <brk id="42" max="35" man="1"/>
      </colBreaks>
      <pageMargins left="0" right="0" top="1.3779527559055118" bottom="0" header="0" footer="0"/>
      <printOptions horizontalCentered="1"/>
      <pageSetup paperSize="9" orientation="landscape" horizontalDpi="1200" verticalDpi="1200" r:id="rId3"/>
      <headerFooter alignWithMargins="0"/>
    </customSheetView>
  </customSheetViews>
  <hyperlinks>
    <hyperlink ref="AS6" location="Índex!E9" display="Índex"/>
  </hyperlinks>
  <printOptions horizontalCentered="1"/>
  <pageMargins left="0" right="0" top="0.39370078740157483" bottom="0" header="0" footer="0"/>
  <pageSetup paperSize="9" scale="97" orientation="landscape" horizontalDpi="1200" verticalDpi="1200" r:id="rId4"/>
  <headerFooter alignWithMargins="0">
    <oddHeader>&amp;R&amp;P/&amp;N</oddHeader>
  </headerFooter>
  <colBreaks count="5" manualBreakCount="5">
    <brk id="9" min="1" max="18" man="1"/>
    <brk id="17" min="1" max="18" man="1"/>
    <brk id="25" min="1" max="18" man="1"/>
    <brk id="33" min="1" max="18" man="1"/>
    <brk id="41" min="1" max="18" man="1"/>
  </colBreaks>
  <drawing r:id="rId5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35"/>
  <dimension ref="A1:DP118"/>
  <sheetViews>
    <sheetView showGridLines="0" zoomScaleNormal="100" workbookViewId="0">
      <pane xSplit="1" ySplit="9" topLeftCell="BK10" activePane="bottomRight" state="frozen"/>
      <selection activeCell="E9" sqref="E9"/>
      <selection pane="topRight" activeCell="E9" sqref="E9"/>
      <selection pane="bottomLeft" activeCell="E9" sqref="E9"/>
      <selection pane="bottomRight" activeCell="E8" sqref="E8:E9"/>
    </sheetView>
  </sheetViews>
  <sheetFormatPr defaultColWidth="10.28515625" defaultRowHeight="15" customHeight="1" x14ac:dyDescent="0.2"/>
  <cols>
    <col min="1" max="1" width="62.7109375" style="228" customWidth="1"/>
    <col min="2" max="72" width="10.7109375" style="1" customWidth="1"/>
    <col min="73" max="16384" width="10.28515625" style="1"/>
  </cols>
  <sheetData>
    <row r="1" spans="1:92" s="25" customFormat="1" ht="15" customHeight="1" x14ac:dyDescent="0.2">
      <c r="A1" s="455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2"/>
      <c r="AW1" s="62"/>
      <c r="AX1" s="62"/>
      <c r="AY1" s="62"/>
      <c r="AZ1" s="62"/>
      <c r="BA1" s="62"/>
      <c r="BB1" s="62"/>
      <c r="BC1" s="62"/>
      <c r="BD1" s="62"/>
      <c r="BE1" s="62"/>
      <c r="BF1" s="62"/>
      <c r="BG1" s="62"/>
      <c r="BH1" s="62"/>
      <c r="BI1" s="62"/>
      <c r="BJ1" s="56"/>
      <c r="BK1" s="56"/>
      <c r="BL1" s="56"/>
      <c r="BM1" s="56"/>
      <c r="BN1" s="56"/>
      <c r="BO1" s="56"/>
      <c r="BP1" s="56"/>
      <c r="BQ1" s="56"/>
      <c r="BR1" s="56"/>
      <c r="BS1" s="56"/>
      <c r="BT1" s="56"/>
    </row>
    <row r="2" spans="1:92" s="25" customFormat="1" ht="15" customHeight="1" x14ac:dyDescent="0.25">
      <c r="A2" s="179"/>
      <c r="B2" s="199"/>
      <c r="C2" s="56"/>
      <c r="D2" s="56"/>
      <c r="E2" s="216"/>
      <c r="F2" s="216"/>
      <c r="G2" s="216"/>
      <c r="H2" s="56"/>
      <c r="I2" s="56"/>
      <c r="J2" s="56"/>
      <c r="K2" s="21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  <c r="BM2" s="56"/>
      <c r="BN2" s="56"/>
      <c r="BO2" s="56"/>
      <c r="BP2" s="56"/>
      <c r="BQ2" s="56"/>
      <c r="BR2" s="56"/>
      <c r="BS2" s="56"/>
      <c r="BT2" s="56"/>
    </row>
    <row r="3" spans="1:92" s="25" customFormat="1" ht="15" customHeight="1" x14ac:dyDescent="0.25">
      <c r="A3" s="179"/>
      <c r="B3" s="57"/>
      <c r="C3" s="61"/>
      <c r="D3" s="57"/>
      <c r="E3" s="217"/>
      <c r="F3" s="217"/>
      <c r="G3" s="217"/>
      <c r="H3" s="57"/>
      <c r="I3" s="57"/>
      <c r="J3" s="57"/>
      <c r="K3" s="21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7"/>
      <c r="BT3" s="57"/>
    </row>
    <row r="4" spans="1:92" s="25" customFormat="1" ht="15" customHeight="1" thickBot="1" x14ac:dyDescent="0.35">
      <c r="A4" s="190" t="s">
        <v>585</v>
      </c>
      <c r="B4" s="61"/>
      <c r="C4" s="59"/>
      <c r="D4" s="61"/>
      <c r="E4" s="59"/>
      <c r="F4" s="114"/>
      <c r="G4" s="59"/>
      <c r="H4" s="112"/>
      <c r="I4" s="59"/>
      <c r="J4" s="59"/>
      <c r="K4" s="59"/>
      <c r="L4" s="59"/>
      <c r="M4" s="59"/>
      <c r="N4" s="59"/>
      <c r="O4" s="59"/>
      <c r="P4" s="59"/>
      <c r="Q4" s="59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  <c r="BK4" s="61"/>
      <c r="BL4" s="61"/>
      <c r="BM4" s="61"/>
      <c r="BN4" s="61"/>
      <c r="BO4" s="61"/>
      <c r="BP4" s="61"/>
      <c r="BQ4" s="61"/>
      <c r="BR4" s="61"/>
      <c r="BS4" s="61"/>
      <c r="BT4" s="61"/>
      <c r="BV4" s="114"/>
      <c r="BZ4" s="114"/>
      <c r="CB4" s="134"/>
      <c r="CE4" s="65"/>
      <c r="CF4" s="194"/>
      <c r="CG4" s="194"/>
      <c r="CH4" s="194"/>
      <c r="CI4" s="225"/>
      <c r="CJ4" s="194"/>
      <c r="CK4" s="194"/>
      <c r="CL4" s="194"/>
      <c r="CM4" s="194"/>
      <c r="CN4" s="198"/>
    </row>
    <row r="5" spans="1:92" s="236" customFormat="1" ht="15" customHeight="1" thickTop="1" x14ac:dyDescent="0.2">
      <c r="A5" s="475"/>
      <c r="B5" s="234"/>
      <c r="C5" s="235"/>
      <c r="D5" s="235"/>
      <c r="E5" s="235"/>
      <c r="AL5" s="133"/>
      <c r="AN5" s="133"/>
      <c r="AO5" s="204"/>
      <c r="BP5" s="379"/>
      <c r="BQ5" s="400"/>
      <c r="BR5" s="400"/>
      <c r="BS5" s="400"/>
      <c r="BT5" s="400" t="s">
        <v>662</v>
      </c>
    </row>
    <row r="6" spans="1:92" s="183" customFormat="1" ht="15" customHeight="1" x14ac:dyDescent="0.2">
      <c r="A6" s="182"/>
      <c r="B6" s="729" t="s">
        <v>35</v>
      </c>
      <c r="C6" s="729"/>
      <c r="D6" s="729" t="s">
        <v>36</v>
      </c>
      <c r="E6" s="729"/>
      <c r="F6" s="729" t="s">
        <v>321</v>
      </c>
      <c r="G6" s="729"/>
      <c r="H6" s="729" t="s">
        <v>331</v>
      </c>
      <c r="I6" s="729"/>
      <c r="J6" s="729" t="s">
        <v>37</v>
      </c>
      <c r="K6" s="729"/>
      <c r="L6" s="729" t="s">
        <v>38</v>
      </c>
      <c r="M6" s="729"/>
      <c r="N6" s="729" t="s">
        <v>322</v>
      </c>
      <c r="O6" s="729"/>
      <c r="P6" s="729" t="s">
        <v>332</v>
      </c>
      <c r="Q6" s="729"/>
      <c r="R6" s="729" t="s">
        <v>39</v>
      </c>
      <c r="S6" s="729"/>
      <c r="T6" s="729" t="s">
        <v>40</v>
      </c>
      <c r="U6" s="729"/>
      <c r="V6" s="729" t="s">
        <v>323</v>
      </c>
      <c r="W6" s="729"/>
      <c r="X6" s="729" t="s">
        <v>333</v>
      </c>
      <c r="Y6" s="729"/>
      <c r="Z6" s="729" t="s">
        <v>41</v>
      </c>
      <c r="AA6" s="729"/>
      <c r="AB6" s="729" t="s">
        <v>42</v>
      </c>
      <c r="AC6" s="729"/>
      <c r="AD6" s="729" t="s">
        <v>324</v>
      </c>
      <c r="AE6" s="729"/>
      <c r="AF6" s="729" t="s">
        <v>334</v>
      </c>
      <c r="AG6" s="729"/>
      <c r="AH6" s="729" t="s">
        <v>43</v>
      </c>
      <c r="AI6" s="729"/>
      <c r="AJ6" s="729" t="s">
        <v>44</v>
      </c>
      <c r="AK6" s="729"/>
      <c r="AL6" s="729" t="s">
        <v>325</v>
      </c>
      <c r="AM6" s="729"/>
      <c r="AN6" s="729" t="s">
        <v>335</v>
      </c>
      <c r="AO6" s="729"/>
      <c r="AP6" s="729" t="s">
        <v>45</v>
      </c>
      <c r="AQ6" s="729"/>
      <c r="AR6" s="729" t="s">
        <v>46</v>
      </c>
      <c r="AS6" s="729"/>
      <c r="AT6" s="729" t="s">
        <v>326</v>
      </c>
      <c r="AU6" s="729"/>
      <c r="AV6" s="729" t="s">
        <v>336</v>
      </c>
      <c r="AW6" s="729"/>
      <c r="AX6" s="729" t="s">
        <v>47</v>
      </c>
      <c r="AY6" s="729"/>
      <c r="AZ6" s="729" t="s">
        <v>48</v>
      </c>
      <c r="BA6" s="729"/>
      <c r="BB6" s="729" t="s">
        <v>327</v>
      </c>
      <c r="BC6" s="729"/>
      <c r="BD6" s="295" t="s">
        <v>337</v>
      </c>
      <c r="BE6" s="195" t="s">
        <v>49</v>
      </c>
      <c r="BF6" s="195" t="s">
        <v>50</v>
      </c>
      <c r="BG6" s="195" t="s">
        <v>328</v>
      </c>
      <c r="BH6" s="195" t="s">
        <v>338</v>
      </c>
      <c r="BI6" s="195" t="s">
        <v>51</v>
      </c>
      <c r="BJ6" s="195" t="s">
        <v>52</v>
      </c>
      <c r="BK6" s="195" t="s">
        <v>329</v>
      </c>
      <c r="BL6" s="195" t="s">
        <v>339</v>
      </c>
      <c r="BM6" s="195" t="s">
        <v>53</v>
      </c>
      <c r="BN6" s="195" t="s">
        <v>54</v>
      </c>
      <c r="BO6" s="195" t="s">
        <v>330</v>
      </c>
      <c r="BP6" s="195" t="s">
        <v>340</v>
      </c>
      <c r="BQ6" s="413" t="s">
        <v>71</v>
      </c>
      <c r="BR6" s="558" t="s">
        <v>374</v>
      </c>
      <c r="BS6" s="591" t="s">
        <v>376</v>
      </c>
      <c r="BT6" s="664" t="s">
        <v>399</v>
      </c>
    </row>
    <row r="7" spans="1:92" s="296" customFormat="1" ht="15" customHeight="1" x14ac:dyDescent="0.2">
      <c r="A7" s="297"/>
      <c r="B7" s="733" t="s">
        <v>311</v>
      </c>
      <c r="C7" s="733"/>
      <c r="D7" s="733"/>
      <c r="E7" s="733"/>
      <c r="F7" s="733"/>
      <c r="G7" s="733"/>
      <c r="H7" s="733"/>
      <c r="I7" s="733"/>
      <c r="J7" s="733" t="s">
        <v>311</v>
      </c>
      <c r="K7" s="733"/>
      <c r="L7" s="733"/>
      <c r="M7" s="733"/>
      <c r="N7" s="733" t="s">
        <v>312</v>
      </c>
      <c r="O7" s="733"/>
      <c r="P7" s="733"/>
      <c r="Q7" s="733"/>
      <c r="R7" s="733" t="s">
        <v>312</v>
      </c>
      <c r="S7" s="733"/>
      <c r="T7" s="733"/>
      <c r="U7" s="733"/>
      <c r="V7" s="733"/>
      <c r="W7" s="733"/>
      <c r="X7" s="733"/>
      <c r="Y7" s="733"/>
      <c r="Z7" s="733" t="s">
        <v>312</v>
      </c>
      <c r="AA7" s="733"/>
      <c r="AB7" s="733"/>
      <c r="AC7" s="733"/>
      <c r="AD7" s="733"/>
      <c r="AE7" s="733"/>
      <c r="AF7" s="733"/>
      <c r="AG7" s="733"/>
      <c r="AH7" s="733" t="s">
        <v>312</v>
      </c>
      <c r="AI7" s="733"/>
      <c r="AJ7" s="733"/>
      <c r="AK7" s="733"/>
      <c r="AL7" s="733"/>
      <c r="AM7" s="733"/>
      <c r="AN7" s="733"/>
      <c r="AO7" s="733"/>
      <c r="AP7" s="733" t="s">
        <v>312</v>
      </c>
      <c r="AQ7" s="733"/>
      <c r="AR7" s="733"/>
      <c r="AS7" s="733"/>
      <c r="AT7" s="733"/>
      <c r="AU7" s="733"/>
      <c r="AV7" s="733"/>
      <c r="AW7" s="733"/>
      <c r="AX7" s="733" t="s">
        <v>312</v>
      </c>
      <c r="AY7" s="733"/>
      <c r="AZ7" s="733"/>
      <c r="BA7" s="733"/>
      <c r="BB7" s="733"/>
      <c r="BC7" s="733"/>
      <c r="BD7" s="298" t="s">
        <v>313</v>
      </c>
      <c r="BE7" s="733" t="s">
        <v>313</v>
      </c>
      <c r="BF7" s="733"/>
      <c r="BG7" s="733"/>
      <c r="BH7" s="733"/>
      <c r="BI7" s="733" t="s">
        <v>313</v>
      </c>
      <c r="BJ7" s="733"/>
      <c r="BK7" s="733"/>
      <c r="BL7" s="733"/>
      <c r="BM7" s="736" t="s">
        <v>313</v>
      </c>
      <c r="BN7" s="736"/>
      <c r="BO7" s="736"/>
      <c r="BP7" s="736"/>
      <c r="BQ7" s="736" t="s">
        <v>313</v>
      </c>
      <c r="BR7" s="736"/>
      <c r="BS7" s="736"/>
      <c r="BT7" s="736"/>
    </row>
    <row r="8" spans="1:92" s="299" customFormat="1" ht="15" customHeight="1" x14ac:dyDescent="0.2">
      <c r="A8" s="300"/>
      <c r="B8" s="734" t="s">
        <v>308</v>
      </c>
      <c r="C8" s="735" t="s">
        <v>309</v>
      </c>
      <c r="D8" s="734" t="s">
        <v>308</v>
      </c>
      <c r="E8" s="735" t="s">
        <v>309</v>
      </c>
      <c r="F8" s="734" t="s">
        <v>308</v>
      </c>
      <c r="G8" s="735" t="s">
        <v>309</v>
      </c>
      <c r="H8" s="734" t="s">
        <v>308</v>
      </c>
      <c r="I8" s="735" t="s">
        <v>309</v>
      </c>
      <c r="J8" s="734" t="s">
        <v>308</v>
      </c>
      <c r="K8" s="735" t="s">
        <v>309</v>
      </c>
      <c r="L8" s="734" t="s">
        <v>308</v>
      </c>
      <c r="M8" s="735" t="s">
        <v>309</v>
      </c>
      <c r="N8" s="734" t="s">
        <v>308</v>
      </c>
      <c r="O8" s="735" t="s">
        <v>309</v>
      </c>
      <c r="P8" s="734" t="s">
        <v>308</v>
      </c>
      <c r="Q8" s="735" t="s">
        <v>309</v>
      </c>
      <c r="R8" s="734" t="s">
        <v>308</v>
      </c>
      <c r="S8" s="735" t="s">
        <v>309</v>
      </c>
      <c r="T8" s="734" t="s">
        <v>308</v>
      </c>
      <c r="U8" s="735" t="s">
        <v>309</v>
      </c>
      <c r="V8" s="734" t="s">
        <v>308</v>
      </c>
      <c r="W8" s="735" t="s">
        <v>309</v>
      </c>
      <c r="X8" s="734" t="s">
        <v>308</v>
      </c>
      <c r="Y8" s="735" t="s">
        <v>309</v>
      </c>
      <c r="Z8" s="734" t="s">
        <v>308</v>
      </c>
      <c r="AA8" s="735" t="s">
        <v>309</v>
      </c>
      <c r="AB8" s="734" t="s">
        <v>308</v>
      </c>
      <c r="AC8" s="735" t="s">
        <v>309</v>
      </c>
      <c r="AD8" s="734" t="s">
        <v>308</v>
      </c>
      <c r="AE8" s="735" t="s">
        <v>309</v>
      </c>
      <c r="AF8" s="734" t="s">
        <v>308</v>
      </c>
      <c r="AG8" s="735" t="s">
        <v>309</v>
      </c>
      <c r="AH8" s="734" t="s">
        <v>308</v>
      </c>
      <c r="AI8" s="735" t="s">
        <v>309</v>
      </c>
      <c r="AJ8" s="734" t="s">
        <v>308</v>
      </c>
      <c r="AK8" s="735" t="s">
        <v>309</v>
      </c>
      <c r="AL8" s="734" t="s">
        <v>308</v>
      </c>
      <c r="AM8" s="735" t="s">
        <v>309</v>
      </c>
      <c r="AN8" s="734" t="s">
        <v>308</v>
      </c>
      <c r="AO8" s="735" t="s">
        <v>309</v>
      </c>
      <c r="AP8" s="734" t="s">
        <v>308</v>
      </c>
      <c r="AQ8" s="735" t="s">
        <v>309</v>
      </c>
      <c r="AR8" s="734" t="s">
        <v>308</v>
      </c>
      <c r="AS8" s="735" t="s">
        <v>309</v>
      </c>
      <c r="AT8" s="734" t="s">
        <v>308</v>
      </c>
      <c r="AU8" s="735" t="s">
        <v>309</v>
      </c>
      <c r="AV8" s="734" t="s">
        <v>308</v>
      </c>
      <c r="AW8" s="735" t="s">
        <v>309</v>
      </c>
      <c r="AX8" s="734" t="s">
        <v>308</v>
      </c>
      <c r="AY8" s="735" t="s">
        <v>309</v>
      </c>
      <c r="AZ8" s="734" t="s">
        <v>308</v>
      </c>
      <c r="BA8" s="735" t="s">
        <v>309</v>
      </c>
      <c r="BB8" s="734" t="s">
        <v>308</v>
      </c>
      <c r="BC8" s="735" t="s">
        <v>309</v>
      </c>
      <c r="BD8" s="735" t="s">
        <v>308</v>
      </c>
      <c r="BE8" s="735" t="s">
        <v>308</v>
      </c>
      <c r="BF8" s="735" t="s">
        <v>308</v>
      </c>
      <c r="BG8" s="735" t="s">
        <v>308</v>
      </c>
      <c r="BH8" s="735" t="s">
        <v>308</v>
      </c>
      <c r="BI8" s="735" t="s">
        <v>310</v>
      </c>
      <c r="BJ8" s="735" t="s">
        <v>310</v>
      </c>
      <c r="BK8" s="735" t="s">
        <v>310</v>
      </c>
      <c r="BL8" s="735" t="s">
        <v>310</v>
      </c>
      <c r="BM8" s="735" t="s">
        <v>310</v>
      </c>
      <c r="BN8" s="735" t="s">
        <v>310</v>
      </c>
      <c r="BO8" s="735" t="s">
        <v>310</v>
      </c>
      <c r="BP8" s="735" t="s">
        <v>310</v>
      </c>
      <c r="BQ8" s="735" t="s">
        <v>310</v>
      </c>
      <c r="BR8" s="735" t="s">
        <v>310</v>
      </c>
      <c r="BS8" s="735" t="s">
        <v>310</v>
      </c>
      <c r="BT8" s="735" t="s">
        <v>310</v>
      </c>
    </row>
    <row r="9" spans="1:92" s="299" customFormat="1" ht="15" customHeight="1" x14ac:dyDescent="0.2">
      <c r="A9" s="300"/>
      <c r="B9" s="734"/>
      <c r="C9" s="735" t="s">
        <v>0</v>
      </c>
      <c r="D9" s="734"/>
      <c r="E9" s="735" t="s">
        <v>0</v>
      </c>
      <c r="F9" s="734"/>
      <c r="G9" s="735" t="s">
        <v>0</v>
      </c>
      <c r="H9" s="734"/>
      <c r="I9" s="735" t="s">
        <v>0</v>
      </c>
      <c r="J9" s="734"/>
      <c r="K9" s="735" t="s">
        <v>0</v>
      </c>
      <c r="L9" s="734"/>
      <c r="M9" s="735" t="s">
        <v>0</v>
      </c>
      <c r="N9" s="734"/>
      <c r="O9" s="735" t="s">
        <v>0</v>
      </c>
      <c r="P9" s="734"/>
      <c r="Q9" s="735" t="s">
        <v>0</v>
      </c>
      <c r="R9" s="734"/>
      <c r="S9" s="735" t="s">
        <v>0</v>
      </c>
      <c r="T9" s="734"/>
      <c r="U9" s="735" t="s">
        <v>0</v>
      </c>
      <c r="V9" s="734"/>
      <c r="W9" s="735" t="s">
        <v>0</v>
      </c>
      <c r="X9" s="734"/>
      <c r="Y9" s="735" t="s">
        <v>0</v>
      </c>
      <c r="Z9" s="734"/>
      <c r="AA9" s="735" t="s">
        <v>0</v>
      </c>
      <c r="AB9" s="734"/>
      <c r="AC9" s="735" t="s">
        <v>0</v>
      </c>
      <c r="AD9" s="734"/>
      <c r="AE9" s="735" t="s">
        <v>0</v>
      </c>
      <c r="AF9" s="734"/>
      <c r="AG9" s="735" t="s">
        <v>0</v>
      </c>
      <c r="AH9" s="734"/>
      <c r="AI9" s="735" t="s">
        <v>0</v>
      </c>
      <c r="AJ9" s="734"/>
      <c r="AK9" s="735" t="s">
        <v>0</v>
      </c>
      <c r="AL9" s="734"/>
      <c r="AM9" s="735" t="s">
        <v>0</v>
      </c>
      <c r="AN9" s="734"/>
      <c r="AO9" s="735" t="s">
        <v>0</v>
      </c>
      <c r="AP9" s="734"/>
      <c r="AQ9" s="735" t="s">
        <v>0</v>
      </c>
      <c r="AR9" s="734"/>
      <c r="AS9" s="735" t="s">
        <v>0</v>
      </c>
      <c r="AT9" s="734"/>
      <c r="AU9" s="735" t="s">
        <v>0</v>
      </c>
      <c r="AV9" s="734"/>
      <c r="AW9" s="735" t="s">
        <v>0</v>
      </c>
      <c r="AX9" s="734"/>
      <c r="AY9" s="735" t="s">
        <v>0</v>
      </c>
      <c r="AZ9" s="734"/>
      <c r="BA9" s="735" t="s">
        <v>0</v>
      </c>
      <c r="BB9" s="734"/>
      <c r="BC9" s="735" t="s">
        <v>0</v>
      </c>
      <c r="BD9" s="735"/>
      <c r="BE9" s="735"/>
      <c r="BF9" s="735"/>
      <c r="BG9" s="735"/>
      <c r="BH9" s="735"/>
      <c r="BI9" s="735"/>
      <c r="BJ9" s="735"/>
      <c r="BK9" s="735"/>
      <c r="BL9" s="735"/>
      <c r="BM9" s="735"/>
      <c r="BN9" s="735"/>
      <c r="BO9" s="735"/>
      <c r="BP9" s="735"/>
      <c r="BQ9" s="735"/>
      <c r="BR9" s="735"/>
      <c r="BS9" s="735"/>
      <c r="BT9" s="735"/>
    </row>
    <row r="10" spans="1:92" s="3" customFormat="1" ht="5.0999999999999996" customHeight="1" x14ac:dyDescent="0.2">
      <c r="A10" s="478"/>
      <c r="B10" s="2"/>
      <c r="C10" s="486"/>
      <c r="D10" s="2"/>
      <c r="E10" s="486"/>
      <c r="F10" s="2"/>
      <c r="G10" s="486"/>
      <c r="H10" s="2"/>
      <c r="I10" s="486"/>
      <c r="J10" s="2"/>
      <c r="K10" s="486"/>
      <c r="L10" s="2"/>
      <c r="M10" s="486"/>
      <c r="N10" s="2"/>
      <c r="O10" s="486"/>
      <c r="P10" s="2"/>
      <c r="Q10" s="486"/>
      <c r="R10" s="2"/>
      <c r="S10" s="486"/>
      <c r="T10" s="2"/>
      <c r="U10" s="486"/>
      <c r="V10" s="2"/>
      <c r="W10" s="486"/>
      <c r="X10" s="2"/>
      <c r="Y10" s="486"/>
      <c r="Z10" s="2"/>
      <c r="AA10" s="486"/>
      <c r="AB10" s="2"/>
      <c r="AC10" s="486"/>
      <c r="AD10" s="2"/>
      <c r="AE10" s="486"/>
      <c r="AF10" s="2"/>
      <c r="AG10" s="486"/>
      <c r="AH10" s="2"/>
      <c r="AI10" s="486"/>
      <c r="AJ10" s="2"/>
      <c r="AK10" s="486"/>
      <c r="AL10" s="2"/>
      <c r="AM10" s="486"/>
      <c r="AN10" s="2"/>
      <c r="AO10" s="486"/>
      <c r="AP10" s="2"/>
      <c r="AQ10" s="486"/>
      <c r="AR10" s="2"/>
      <c r="AS10" s="486"/>
      <c r="AT10" s="2"/>
      <c r="AU10" s="486"/>
      <c r="AV10" s="2"/>
      <c r="AW10" s="486"/>
      <c r="AX10" s="2"/>
      <c r="AY10" s="486"/>
      <c r="AZ10" s="2"/>
      <c r="BA10" s="486"/>
      <c r="BB10" s="2"/>
      <c r="BC10" s="486"/>
      <c r="BD10" s="486"/>
      <c r="BE10" s="486"/>
      <c r="BF10" s="486"/>
      <c r="BG10" s="486"/>
      <c r="BH10" s="486"/>
      <c r="BI10" s="486"/>
      <c r="BJ10" s="486"/>
      <c r="BK10" s="486"/>
      <c r="BL10" s="486"/>
      <c r="BM10" s="486"/>
      <c r="BN10" s="486"/>
      <c r="BO10" s="486"/>
      <c r="BP10" s="486"/>
      <c r="BQ10" s="486"/>
      <c r="BR10" s="486"/>
      <c r="BS10" s="486"/>
      <c r="BT10" s="486"/>
    </row>
    <row r="11" spans="1:92" s="228" customFormat="1" ht="15" customHeight="1" x14ac:dyDescent="0.2">
      <c r="A11" s="226" t="s">
        <v>581</v>
      </c>
      <c r="B11" s="253">
        <v>26029</v>
      </c>
      <c r="C11" s="487">
        <v>26029</v>
      </c>
      <c r="D11" s="253">
        <v>27515</v>
      </c>
      <c r="E11" s="487">
        <v>27515</v>
      </c>
      <c r="F11" s="253">
        <v>29214</v>
      </c>
      <c r="G11" s="487">
        <v>29214</v>
      </c>
      <c r="H11" s="254">
        <v>30357</v>
      </c>
      <c r="I11" s="487">
        <v>30357</v>
      </c>
      <c r="J11" s="254">
        <v>32909</v>
      </c>
      <c r="K11" s="487">
        <v>32909</v>
      </c>
      <c r="L11" s="254">
        <v>33711</v>
      </c>
      <c r="M11" s="487">
        <v>33711</v>
      </c>
      <c r="N11" s="254">
        <v>34168</v>
      </c>
      <c r="O11" s="487">
        <v>34168</v>
      </c>
      <c r="P11" s="254">
        <v>34257</v>
      </c>
      <c r="Q11" s="487">
        <v>34257</v>
      </c>
      <c r="R11" s="254">
        <v>35306</v>
      </c>
      <c r="S11" s="487">
        <v>35306</v>
      </c>
      <c r="T11" s="254">
        <v>37277</v>
      </c>
      <c r="U11" s="487">
        <v>37277</v>
      </c>
      <c r="V11" s="254">
        <v>38877</v>
      </c>
      <c r="W11" s="487">
        <v>38877</v>
      </c>
      <c r="X11" s="254">
        <v>41754</v>
      </c>
      <c r="Y11" s="487">
        <v>41754</v>
      </c>
      <c r="Z11" s="254">
        <v>43087</v>
      </c>
      <c r="AA11" s="487">
        <f>Z11</f>
        <v>43087</v>
      </c>
      <c r="AB11" s="254">
        <v>44295</v>
      </c>
      <c r="AC11" s="487">
        <f>AB11</f>
        <v>44295</v>
      </c>
      <c r="AD11" s="254">
        <v>46114</v>
      </c>
      <c r="AE11" s="487">
        <f>AD11</f>
        <v>46114</v>
      </c>
      <c r="AF11" s="254">
        <v>48043</v>
      </c>
      <c r="AG11" s="487">
        <f>AF11</f>
        <v>48043</v>
      </c>
      <c r="AH11" s="254">
        <v>51297</v>
      </c>
      <c r="AI11" s="487">
        <v>51297</v>
      </c>
      <c r="AJ11" s="254">
        <v>52843</v>
      </c>
      <c r="AK11" s="487">
        <v>52843</v>
      </c>
      <c r="AL11" s="254">
        <v>53742</v>
      </c>
      <c r="AM11" s="487">
        <v>53742</v>
      </c>
      <c r="AN11" s="254">
        <v>55582</v>
      </c>
      <c r="AO11" s="487">
        <v>55582</v>
      </c>
      <c r="AP11" s="257">
        <v>58059</v>
      </c>
      <c r="AQ11" s="487">
        <v>58059</v>
      </c>
      <c r="AR11" s="257">
        <v>63920</v>
      </c>
      <c r="AS11" s="487">
        <v>63920</v>
      </c>
      <c r="AT11" s="257">
        <v>66047</v>
      </c>
      <c r="AU11" s="487">
        <v>66047</v>
      </c>
      <c r="AV11" s="257">
        <v>70047</v>
      </c>
      <c r="AW11" s="487">
        <v>70047</v>
      </c>
      <c r="AX11" s="257">
        <v>69442</v>
      </c>
      <c r="AY11" s="487">
        <v>69442</v>
      </c>
      <c r="AZ11" s="257">
        <v>66028</v>
      </c>
      <c r="BA11" s="487">
        <v>66028</v>
      </c>
      <c r="BB11" s="257">
        <v>67033</v>
      </c>
      <c r="BC11" s="487">
        <v>67033</v>
      </c>
      <c r="BD11" s="487">
        <v>70940</v>
      </c>
      <c r="BE11" s="487">
        <v>73326</v>
      </c>
      <c r="BF11" s="487">
        <v>76800</v>
      </c>
      <c r="BG11" s="487">
        <v>79242</v>
      </c>
      <c r="BH11" s="487">
        <v>81508</v>
      </c>
      <c r="BI11" s="487">
        <v>83937</v>
      </c>
      <c r="BJ11" s="487">
        <v>86972</v>
      </c>
      <c r="BK11" s="487">
        <v>86233</v>
      </c>
      <c r="BL11" s="487">
        <v>88907</v>
      </c>
      <c r="BM11" s="487">
        <v>93330</v>
      </c>
      <c r="BN11" s="487">
        <v>96358</v>
      </c>
      <c r="BO11" s="487">
        <v>98550</v>
      </c>
      <c r="BP11" s="487">
        <v>100442</v>
      </c>
      <c r="BQ11" s="487">
        <v>104558</v>
      </c>
      <c r="BR11" s="487">
        <v>106807</v>
      </c>
      <c r="BS11" s="487">
        <v>110301</v>
      </c>
      <c r="BT11" s="490">
        <v>110457</v>
      </c>
    </row>
    <row r="12" spans="1:92" s="228" customFormat="1" ht="15" customHeight="1" x14ac:dyDescent="0.2">
      <c r="A12" s="226" t="s">
        <v>582</v>
      </c>
      <c r="B12" s="253">
        <v>199823</v>
      </c>
      <c r="C12" s="487">
        <v>225789</v>
      </c>
      <c r="D12" s="253">
        <v>208231</v>
      </c>
      <c r="E12" s="487">
        <v>234318</v>
      </c>
      <c r="F12" s="253">
        <v>241481</v>
      </c>
      <c r="G12" s="487">
        <v>268724</v>
      </c>
      <c r="H12" s="254">
        <v>269136</v>
      </c>
      <c r="I12" s="487">
        <v>296736</v>
      </c>
      <c r="J12" s="254">
        <v>283207</v>
      </c>
      <c r="K12" s="487">
        <v>311838</v>
      </c>
      <c r="L12" s="254">
        <v>306398</v>
      </c>
      <c r="M12" s="487">
        <v>336867</v>
      </c>
      <c r="N12" s="254">
        <v>279184</v>
      </c>
      <c r="O12" s="487">
        <v>286363</v>
      </c>
      <c r="P12" s="254">
        <v>282008</v>
      </c>
      <c r="Q12" s="487">
        <v>293797</v>
      </c>
      <c r="R12" s="254">
        <v>289035</v>
      </c>
      <c r="S12" s="487">
        <v>295944</v>
      </c>
      <c r="T12" s="254">
        <v>284637</v>
      </c>
      <c r="U12" s="487">
        <v>294864</v>
      </c>
      <c r="V12" s="254">
        <v>300362</v>
      </c>
      <c r="W12" s="487">
        <v>301773</v>
      </c>
      <c r="X12" s="254">
        <v>312488</v>
      </c>
      <c r="Y12" s="487">
        <v>313719</v>
      </c>
      <c r="Z12" s="254">
        <v>332139</v>
      </c>
      <c r="AA12" s="487">
        <v>334107</v>
      </c>
      <c r="AB12" s="254">
        <v>333066</v>
      </c>
      <c r="AC12" s="487">
        <v>332430</v>
      </c>
      <c r="AD12" s="254">
        <v>348022</v>
      </c>
      <c r="AE12" s="487">
        <v>356103</v>
      </c>
      <c r="AF12" s="254">
        <v>371614</v>
      </c>
      <c r="AG12" s="487">
        <v>380844</v>
      </c>
      <c r="AH12" s="254">
        <v>389106</v>
      </c>
      <c r="AI12" s="487">
        <v>398443</v>
      </c>
      <c r="AJ12" s="254">
        <v>417628</v>
      </c>
      <c r="AK12" s="487">
        <v>426007</v>
      </c>
      <c r="AL12" s="254">
        <v>457828</v>
      </c>
      <c r="AM12" s="487">
        <v>467206</v>
      </c>
      <c r="AN12" s="254">
        <v>473373</v>
      </c>
      <c r="AO12" s="487">
        <v>474172</v>
      </c>
      <c r="AP12" s="257">
        <v>506938</v>
      </c>
      <c r="AQ12" s="487">
        <v>505934</v>
      </c>
      <c r="AR12" s="257">
        <v>534021</v>
      </c>
      <c r="AS12" s="487">
        <v>531871</v>
      </c>
      <c r="AT12" s="257">
        <v>572470</v>
      </c>
      <c r="AU12" s="487">
        <v>571377</v>
      </c>
      <c r="AV12" s="257">
        <v>597519</v>
      </c>
      <c r="AW12" s="487">
        <v>600520</v>
      </c>
      <c r="AX12" s="257">
        <v>618713</v>
      </c>
      <c r="AY12" s="487">
        <v>621043</v>
      </c>
      <c r="AZ12" s="257">
        <v>601404</v>
      </c>
      <c r="BA12" s="487">
        <v>603541</v>
      </c>
      <c r="BB12" s="257">
        <v>564707</v>
      </c>
      <c r="BC12" s="487">
        <v>566797</v>
      </c>
      <c r="BD12" s="487">
        <v>576777</v>
      </c>
      <c r="BE12" s="487">
        <v>585991</v>
      </c>
      <c r="BF12" s="487">
        <v>596457</v>
      </c>
      <c r="BG12" s="487">
        <v>588752</v>
      </c>
      <c r="BH12" s="487">
        <v>597213</v>
      </c>
      <c r="BI12" s="487">
        <v>614574</v>
      </c>
      <c r="BJ12" s="487">
        <v>607226</v>
      </c>
      <c r="BK12" s="487">
        <v>643924</v>
      </c>
      <c r="BL12" s="487">
        <v>612217</v>
      </c>
      <c r="BM12" s="487">
        <v>595757</v>
      </c>
      <c r="BN12" s="487">
        <v>580568</v>
      </c>
      <c r="BO12" s="487">
        <v>657148</v>
      </c>
      <c r="BP12" s="487">
        <v>656189</v>
      </c>
      <c r="BQ12" s="487">
        <v>607464</v>
      </c>
      <c r="BR12" s="487">
        <v>618611</v>
      </c>
      <c r="BS12" s="487">
        <v>604581</v>
      </c>
      <c r="BT12" s="490">
        <v>611442</v>
      </c>
    </row>
    <row r="13" spans="1:92" s="228" customFormat="1" ht="15" customHeight="1" x14ac:dyDescent="0.2">
      <c r="A13" s="226" t="s">
        <v>583</v>
      </c>
      <c r="B13" s="253">
        <v>21981</v>
      </c>
      <c r="C13" s="487">
        <v>24837</v>
      </c>
      <c r="D13" s="253">
        <v>22905</v>
      </c>
      <c r="E13" s="487">
        <v>25775</v>
      </c>
      <c r="F13" s="253">
        <v>26563</v>
      </c>
      <c r="G13" s="487">
        <v>29560</v>
      </c>
      <c r="H13" s="254">
        <v>29605</v>
      </c>
      <c r="I13" s="487">
        <v>32641</v>
      </c>
      <c r="J13" s="254">
        <v>31153</v>
      </c>
      <c r="K13" s="487">
        <v>34302</v>
      </c>
      <c r="L13" s="254">
        <v>33704</v>
      </c>
      <c r="M13" s="487">
        <v>37055</v>
      </c>
      <c r="N13" s="254">
        <v>30710</v>
      </c>
      <c r="O13" s="487">
        <v>31500</v>
      </c>
      <c r="P13" s="254">
        <v>31021</v>
      </c>
      <c r="Q13" s="487">
        <v>32318</v>
      </c>
      <c r="R13" s="254">
        <v>31794</v>
      </c>
      <c r="S13" s="487">
        <v>32554</v>
      </c>
      <c r="T13" s="254">
        <v>31310</v>
      </c>
      <c r="U13" s="487">
        <v>32435</v>
      </c>
      <c r="V13" s="254">
        <v>33040</v>
      </c>
      <c r="W13" s="487">
        <v>33195</v>
      </c>
      <c r="X13" s="254">
        <v>34374</v>
      </c>
      <c r="Y13" s="487">
        <v>34509</v>
      </c>
      <c r="Z13" s="254">
        <v>36535</v>
      </c>
      <c r="AA13" s="487">
        <v>36752</v>
      </c>
      <c r="AB13" s="254">
        <v>36637</v>
      </c>
      <c r="AC13" s="487">
        <v>36567</v>
      </c>
      <c r="AD13" s="254">
        <v>38282</v>
      </c>
      <c r="AE13" s="487">
        <v>39171</v>
      </c>
      <c r="AF13" s="254">
        <v>40878</v>
      </c>
      <c r="AG13" s="487">
        <v>41893</v>
      </c>
      <c r="AH13" s="254">
        <v>42802</v>
      </c>
      <c r="AI13" s="487">
        <v>43829</v>
      </c>
      <c r="AJ13" s="254">
        <v>45939</v>
      </c>
      <c r="AK13" s="487">
        <v>46861</v>
      </c>
      <c r="AL13" s="254">
        <v>50361</v>
      </c>
      <c r="AM13" s="487">
        <v>51393</v>
      </c>
      <c r="AN13" s="254">
        <v>52071</v>
      </c>
      <c r="AO13" s="487">
        <v>52159</v>
      </c>
      <c r="AP13" s="257">
        <v>55763</v>
      </c>
      <c r="AQ13" s="487">
        <v>55653</v>
      </c>
      <c r="AR13" s="257">
        <v>58742</v>
      </c>
      <c r="AS13" s="487">
        <v>58506</v>
      </c>
      <c r="AT13" s="257">
        <v>62972</v>
      </c>
      <c r="AU13" s="487">
        <v>62851</v>
      </c>
      <c r="AV13" s="257">
        <v>65727</v>
      </c>
      <c r="AW13" s="487">
        <v>66057</v>
      </c>
      <c r="AX13" s="257">
        <v>68058</v>
      </c>
      <c r="AY13" s="487">
        <v>68315</v>
      </c>
      <c r="AZ13" s="257">
        <v>66154</v>
      </c>
      <c r="BA13" s="487">
        <v>66390</v>
      </c>
      <c r="BB13" s="257">
        <v>62118</v>
      </c>
      <c r="BC13" s="487">
        <v>62348</v>
      </c>
      <c r="BD13" s="487">
        <v>63445</v>
      </c>
      <c r="BE13" s="487">
        <v>64459</v>
      </c>
      <c r="BF13" s="487">
        <v>65610</v>
      </c>
      <c r="BG13" s="487">
        <v>64763</v>
      </c>
      <c r="BH13" s="487">
        <v>65693</v>
      </c>
      <c r="BI13" s="487">
        <v>67603</v>
      </c>
      <c r="BJ13" s="487">
        <v>66795</v>
      </c>
      <c r="BK13" s="487">
        <v>70832</v>
      </c>
      <c r="BL13" s="487">
        <v>67344</v>
      </c>
      <c r="BM13" s="487">
        <v>65533</v>
      </c>
      <c r="BN13" s="487">
        <v>63862</v>
      </c>
      <c r="BO13" s="487">
        <v>72286</v>
      </c>
      <c r="BP13" s="487">
        <v>72181</v>
      </c>
      <c r="BQ13" s="487">
        <v>66821</v>
      </c>
      <c r="BR13" s="487">
        <v>66501</v>
      </c>
      <c r="BS13" s="487">
        <v>55924</v>
      </c>
      <c r="BT13" s="490">
        <v>56558</v>
      </c>
    </row>
    <row r="14" spans="1:92" s="228" customFormat="1" ht="5.0999999999999996" customHeight="1" x14ac:dyDescent="0.2">
      <c r="A14" s="226"/>
      <c r="B14" s="253"/>
      <c r="C14" s="487"/>
      <c r="D14" s="253"/>
      <c r="E14" s="487"/>
      <c r="F14" s="253"/>
      <c r="G14" s="487"/>
      <c r="H14" s="254"/>
      <c r="I14" s="487"/>
      <c r="J14" s="254"/>
      <c r="K14" s="487"/>
      <c r="L14" s="254"/>
      <c r="M14" s="487"/>
      <c r="N14" s="254"/>
      <c r="O14" s="487"/>
      <c r="P14" s="254"/>
      <c r="Q14" s="487"/>
      <c r="R14" s="254"/>
      <c r="S14" s="487"/>
      <c r="T14" s="254"/>
      <c r="U14" s="487"/>
      <c r="V14" s="254"/>
      <c r="W14" s="487"/>
      <c r="X14" s="254"/>
      <c r="Y14" s="487"/>
      <c r="Z14" s="254"/>
      <c r="AA14" s="487"/>
      <c r="AB14" s="254"/>
      <c r="AC14" s="487"/>
      <c r="AD14" s="254"/>
      <c r="AE14" s="487"/>
      <c r="AF14" s="254"/>
      <c r="AG14" s="487"/>
      <c r="AH14" s="254"/>
      <c r="AI14" s="487"/>
      <c r="AJ14" s="254"/>
      <c r="AK14" s="487"/>
      <c r="AL14" s="254"/>
      <c r="AM14" s="487"/>
      <c r="AN14" s="254"/>
      <c r="AO14" s="487"/>
      <c r="AP14" s="257"/>
      <c r="AQ14" s="487"/>
      <c r="AR14" s="257"/>
      <c r="AS14" s="487"/>
      <c r="AT14" s="257"/>
      <c r="AU14" s="487"/>
      <c r="AV14" s="257"/>
      <c r="AW14" s="487"/>
      <c r="AX14" s="257"/>
      <c r="AY14" s="487"/>
      <c r="AZ14" s="257"/>
      <c r="BA14" s="487"/>
      <c r="BB14" s="257"/>
      <c r="BC14" s="487"/>
      <c r="BD14" s="487"/>
      <c r="BE14" s="487"/>
      <c r="BF14" s="487"/>
      <c r="BG14" s="487"/>
      <c r="BH14" s="487"/>
      <c r="BI14" s="487"/>
      <c r="BJ14" s="487"/>
      <c r="BK14" s="487"/>
      <c r="BL14" s="487"/>
      <c r="BM14" s="487"/>
      <c r="BN14" s="487"/>
      <c r="BO14" s="487"/>
      <c r="BP14" s="487"/>
      <c r="BQ14" s="487"/>
      <c r="BR14" s="487"/>
      <c r="BS14" s="487"/>
      <c r="BT14" s="490"/>
    </row>
    <row r="15" spans="1:92" s="228" customFormat="1" ht="15" customHeight="1" x14ac:dyDescent="0.2">
      <c r="A15" s="229" t="s">
        <v>580</v>
      </c>
      <c r="B15" s="279">
        <f t="shared" ref="B15:AG15" si="0">SUM(B16:B18)</f>
        <v>35487</v>
      </c>
      <c r="C15" s="488">
        <f t="shared" si="0"/>
        <v>35535</v>
      </c>
      <c r="D15" s="279">
        <f t="shared" si="0"/>
        <v>37827</v>
      </c>
      <c r="E15" s="488">
        <f t="shared" si="0"/>
        <v>37742</v>
      </c>
      <c r="F15" s="256">
        <f t="shared" si="0"/>
        <v>39251</v>
      </c>
      <c r="G15" s="488">
        <f t="shared" si="0"/>
        <v>38169</v>
      </c>
      <c r="H15" s="256">
        <f t="shared" si="0"/>
        <v>42111</v>
      </c>
      <c r="I15" s="488">
        <f t="shared" si="0"/>
        <v>41448</v>
      </c>
      <c r="J15" s="256">
        <f t="shared" si="0"/>
        <v>44034</v>
      </c>
      <c r="K15" s="488">
        <f t="shared" si="0"/>
        <v>43408</v>
      </c>
      <c r="L15" s="256">
        <f t="shared" si="0"/>
        <v>43975</v>
      </c>
      <c r="M15" s="488">
        <f t="shared" si="0"/>
        <v>43515</v>
      </c>
      <c r="N15" s="256">
        <f t="shared" si="0"/>
        <v>45260</v>
      </c>
      <c r="O15" s="488">
        <f t="shared" si="0"/>
        <v>44716</v>
      </c>
      <c r="P15" s="256">
        <f t="shared" si="0"/>
        <v>47737</v>
      </c>
      <c r="Q15" s="488">
        <f t="shared" si="0"/>
        <v>47263</v>
      </c>
      <c r="R15" s="256">
        <f t="shared" si="0"/>
        <v>47922</v>
      </c>
      <c r="S15" s="488">
        <f t="shared" si="0"/>
        <v>47456</v>
      </c>
      <c r="T15" s="256">
        <f t="shared" si="0"/>
        <v>50512</v>
      </c>
      <c r="U15" s="488">
        <f t="shared" si="0"/>
        <v>50137</v>
      </c>
      <c r="V15" s="256">
        <f t="shared" si="0"/>
        <v>53840</v>
      </c>
      <c r="W15" s="488">
        <f t="shared" si="0"/>
        <v>53500</v>
      </c>
      <c r="X15" s="256">
        <f t="shared" si="0"/>
        <v>55464</v>
      </c>
      <c r="Y15" s="488">
        <f t="shared" si="0"/>
        <v>55928</v>
      </c>
      <c r="Z15" s="256">
        <f t="shared" si="0"/>
        <v>55675</v>
      </c>
      <c r="AA15" s="488">
        <f t="shared" si="0"/>
        <v>56062</v>
      </c>
      <c r="AB15" s="256">
        <f t="shared" si="0"/>
        <v>52620</v>
      </c>
      <c r="AC15" s="488">
        <f t="shared" si="0"/>
        <v>52906</v>
      </c>
      <c r="AD15" s="256">
        <f t="shared" si="0"/>
        <v>55636</v>
      </c>
      <c r="AE15" s="488">
        <f t="shared" si="0"/>
        <v>55920</v>
      </c>
      <c r="AF15" s="256">
        <f t="shared" si="0"/>
        <v>55968</v>
      </c>
      <c r="AG15" s="488">
        <f t="shared" si="0"/>
        <v>56146</v>
      </c>
      <c r="AH15" s="256">
        <f t="shared" ref="AH15:BM15" si="1">SUM(AH16:AH18)</f>
        <v>59640</v>
      </c>
      <c r="AI15" s="488">
        <f t="shared" si="1"/>
        <v>59923</v>
      </c>
      <c r="AJ15" s="256">
        <f t="shared" si="1"/>
        <v>62216</v>
      </c>
      <c r="AK15" s="488">
        <f t="shared" si="1"/>
        <v>62524</v>
      </c>
      <c r="AL15" s="256">
        <f t="shared" si="1"/>
        <v>68486</v>
      </c>
      <c r="AM15" s="488">
        <f t="shared" si="1"/>
        <v>68806</v>
      </c>
      <c r="AN15" s="256">
        <f t="shared" si="1"/>
        <v>71128</v>
      </c>
      <c r="AO15" s="488">
        <f t="shared" si="1"/>
        <v>71476</v>
      </c>
      <c r="AP15" s="279">
        <f t="shared" si="1"/>
        <v>75344</v>
      </c>
      <c r="AQ15" s="488">
        <f t="shared" si="1"/>
        <v>75704</v>
      </c>
      <c r="AR15" s="279">
        <f t="shared" si="1"/>
        <v>89886</v>
      </c>
      <c r="AS15" s="488">
        <f t="shared" si="1"/>
        <v>90202</v>
      </c>
      <c r="AT15" s="279">
        <f t="shared" si="1"/>
        <v>90837</v>
      </c>
      <c r="AU15" s="488">
        <f t="shared" si="1"/>
        <v>91149</v>
      </c>
      <c r="AV15" s="279">
        <f t="shared" si="1"/>
        <v>96626</v>
      </c>
      <c r="AW15" s="488">
        <f t="shared" si="1"/>
        <v>96933</v>
      </c>
      <c r="AX15" s="279">
        <f t="shared" si="1"/>
        <v>96395</v>
      </c>
      <c r="AY15" s="488">
        <f t="shared" si="1"/>
        <v>96721</v>
      </c>
      <c r="AZ15" s="279">
        <f t="shared" si="1"/>
        <v>92333</v>
      </c>
      <c r="BA15" s="488">
        <f t="shared" si="1"/>
        <v>92629</v>
      </c>
      <c r="BB15" s="279">
        <f t="shared" si="1"/>
        <v>92734</v>
      </c>
      <c r="BC15" s="488">
        <f t="shared" si="1"/>
        <v>93064</v>
      </c>
      <c r="BD15" s="488">
        <f t="shared" si="1"/>
        <v>95804</v>
      </c>
      <c r="BE15" s="488">
        <f t="shared" si="1"/>
        <v>92235</v>
      </c>
      <c r="BF15" s="488">
        <f t="shared" si="1"/>
        <v>94090</v>
      </c>
      <c r="BG15" s="488">
        <f t="shared" si="1"/>
        <v>95825</v>
      </c>
      <c r="BH15" s="488">
        <f t="shared" si="1"/>
        <v>98605</v>
      </c>
      <c r="BI15" s="488">
        <f t="shared" si="1"/>
        <v>93608</v>
      </c>
      <c r="BJ15" s="488">
        <f t="shared" si="1"/>
        <v>97015</v>
      </c>
      <c r="BK15" s="488">
        <f t="shared" si="1"/>
        <v>93090</v>
      </c>
      <c r="BL15" s="488">
        <f t="shared" si="1"/>
        <v>102825</v>
      </c>
      <c r="BM15" s="488">
        <f t="shared" si="1"/>
        <v>100452</v>
      </c>
      <c r="BN15" s="488">
        <f t="shared" ref="BN15:BT15" si="2">SUM(BN16:BN18)</f>
        <v>102548</v>
      </c>
      <c r="BO15" s="488">
        <f t="shared" si="2"/>
        <v>95055</v>
      </c>
      <c r="BP15" s="488">
        <f t="shared" si="2"/>
        <v>101127</v>
      </c>
      <c r="BQ15" s="488">
        <f t="shared" si="2"/>
        <v>92920</v>
      </c>
      <c r="BR15" s="488">
        <f t="shared" si="2"/>
        <v>103050</v>
      </c>
      <c r="BS15" s="488">
        <f t="shared" si="2"/>
        <v>106682</v>
      </c>
      <c r="BT15" s="491">
        <f t="shared" si="2"/>
        <v>104673</v>
      </c>
    </row>
    <row r="16" spans="1:92" s="228" customFormat="1" ht="15" customHeight="1" x14ac:dyDescent="0.2">
      <c r="A16" s="226" t="s">
        <v>314</v>
      </c>
      <c r="B16" s="253">
        <v>25674</v>
      </c>
      <c r="C16" s="487">
        <v>25721</v>
      </c>
      <c r="D16" s="253">
        <v>27225</v>
      </c>
      <c r="E16" s="487">
        <v>27139</v>
      </c>
      <c r="F16" s="253">
        <v>29078</v>
      </c>
      <c r="G16" s="487">
        <v>29015</v>
      </c>
      <c r="H16" s="254">
        <v>30530</v>
      </c>
      <c r="I16" s="487">
        <v>30375</v>
      </c>
      <c r="J16" s="254">
        <v>32952</v>
      </c>
      <c r="K16" s="487">
        <v>32845</v>
      </c>
      <c r="L16" s="254">
        <v>34096</v>
      </c>
      <c r="M16" s="487">
        <v>34071</v>
      </c>
      <c r="N16" s="254">
        <v>35822</v>
      </c>
      <c r="O16" s="487">
        <v>35724</v>
      </c>
      <c r="P16" s="254">
        <v>38245</v>
      </c>
      <c r="Q16" s="487">
        <v>38022</v>
      </c>
      <c r="R16" s="254">
        <v>39406</v>
      </c>
      <c r="S16" s="487">
        <v>39201</v>
      </c>
      <c r="T16" s="254">
        <v>42300</v>
      </c>
      <c r="U16" s="487">
        <v>42185</v>
      </c>
      <c r="V16" s="254">
        <v>43378</v>
      </c>
      <c r="W16" s="487">
        <v>43305</v>
      </c>
      <c r="X16" s="254">
        <v>45927</v>
      </c>
      <c r="Y16" s="487">
        <v>46529</v>
      </c>
      <c r="Z16" s="254">
        <v>47291</v>
      </c>
      <c r="AA16" s="487">
        <v>47821</v>
      </c>
      <c r="AB16" s="254">
        <v>45853</v>
      </c>
      <c r="AC16" s="487">
        <v>46284</v>
      </c>
      <c r="AD16" s="254">
        <v>47649</v>
      </c>
      <c r="AE16" s="487">
        <v>48081</v>
      </c>
      <c r="AF16" s="254">
        <v>49690</v>
      </c>
      <c r="AG16" s="487">
        <v>49896</v>
      </c>
      <c r="AH16" s="254">
        <v>52928</v>
      </c>
      <c r="AI16" s="487">
        <v>53240</v>
      </c>
      <c r="AJ16" s="254">
        <v>54769</v>
      </c>
      <c r="AK16" s="487">
        <v>55110</v>
      </c>
      <c r="AL16" s="254">
        <v>56522</v>
      </c>
      <c r="AM16" s="487">
        <v>56877</v>
      </c>
      <c r="AN16" s="254">
        <v>58366</v>
      </c>
      <c r="AO16" s="487">
        <v>58714</v>
      </c>
      <c r="AP16" s="257">
        <v>60220</v>
      </c>
      <c r="AQ16" s="487">
        <v>60580</v>
      </c>
      <c r="AR16" s="257">
        <v>62102</v>
      </c>
      <c r="AS16" s="487">
        <v>62418</v>
      </c>
      <c r="AT16" s="257">
        <v>63953</v>
      </c>
      <c r="AU16" s="487">
        <v>64265</v>
      </c>
      <c r="AV16" s="257">
        <v>65887</v>
      </c>
      <c r="AW16" s="487">
        <v>66194</v>
      </c>
      <c r="AX16" s="257">
        <v>67783</v>
      </c>
      <c r="AY16" s="487">
        <v>68109</v>
      </c>
      <c r="AZ16" s="257">
        <v>69702</v>
      </c>
      <c r="BA16" s="487">
        <v>69998</v>
      </c>
      <c r="BB16" s="257">
        <v>71632</v>
      </c>
      <c r="BC16" s="487">
        <v>71962</v>
      </c>
      <c r="BD16" s="487">
        <v>70808</v>
      </c>
      <c r="BE16" s="487">
        <v>69934</v>
      </c>
      <c r="BF16" s="487">
        <v>71892</v>
      </c>
      <c r="BG16" s="487">
        <v>74127</v>
      </c>
      <c r="BH16" s="487">
        <v>77199</v>
      </c>
      <c r="BI16" s="487">
        <v>74095</v>
      </c>
      <c r="BJ16" s="487">
        <v>77502</v>
      </c>
      <c r="BK16" s="487">
        <v>73577</v>
      </c>
      <c r="BL16" s="487">
        <v>77507</v>
      </c>
      <c r="BM16" s="487">
        <v>76704</v>
      </c>
      <c r="BN16" s="487">
        <v>79377</v>
      </c>
      <c r="BO16" s="487">
        <v>72654</v>
      </c>
      <c r="BP16" s="487">
        <v>78763</v>
      </c>
      <c r="BQ16" s="487">
        <v>73123</v>
      </c>
      <c r="BR16" s="487">
        <v>77322</v>
      </c>
      <c r="BS16" s="487">
        <v>80889</v>
      </c>
      <c r="BT16" s="490">
        <v>80085</v>
      </c>
    </row>
    <row r="17" spans="1:120" s="228" customFormat="1" ht="15" customHeight="1" x14ac:dyDescent="0.2">
      <c r="A17" s="226" t="s">
        <v>315</v>
      </c>
      <c r="B17" s="253">
        <v>9813</v>
      </c>
      <c r="C17" s="487">
        <v>9814</v>
      </c>
      <c r="D17" s="253">
        <v>10602</v>
      </c>
      <c r="E17" s="487">
        <v>10603</v>
      </c>
      <c r="F17" s="253">
        <v>10234</v>
      </c>
      <c r="G17" s="487">
        <v>10148</v>
      </c>
      <c r="H17" s="254">
        <v>11622</v>
      </c>
      <c r="I17" s="487">
        <v>11534</v>
      </c>
      <c r="J17" s="254">
        <v>11124</v>
      </c>
      <c r="K17" s="487">
        <v>11036</v>
      </c>
      <c r="L17" s="254">
        <v>9925</v>
      </c>
      <c r="M17" s="487">
        <v>9925</v>
      </c>
      <c r="N17" s="254">
        <v>9489</v>
      </c>
      <c r="O17" s="487">
        <v>9489</v>
      </c>
      <c r="P17" s="254">
        <v>9546</v>
      </c>
      <c r="Q17" s="487">
        <v>9546</v>
      </c>
      <c r="R17" s="254">
        <v>8569</v>
      </c>
      <c r="S17" s="487">
        <v>8569</v>
      </c>
      <c r="T17" s="254">
        <v>8273</v>
      </c>
      <c r="U17" s="487">
        <v>8273</v>
      </c>
      <c r="V17" s="254">
        <v>10524</v>
      </c>
      <c r="W17" s="487">
        <v>10524</v>
      </c>
      <c r="X17" s="254">
        <v>9623</v>
      </c>
      <c r="Y17" s="487">
        <v>9623</v>
      </c>
      <c r="Z17" s="254">
        <v>8469</v>
      </c>
      <c r="AA17" s="487">
        <f>Z17</f>
        <v>8469</v>
      </c>
      <c r="AB17" s="254">
        <v>6856</v>
      </c>
      <c r="AC17" s="487">
        <v>6856</v>
      </c>
      <c r="AD17" s="254">
        <v>8079</v>
      </c>
      <c r="AE17" s="487">
        <v>8079</v>
      </c>
      <c r="AF17" s="254">
        <v>6373</v>
      </c>
      <c r="AG17" s="487">
        <v>6373</v>
      </c>
      <c r="AH17" s="254">
        <v>6809</v>
      </c>
      <c r="AI17" s="487">
        <v>6809</v>
      </c>
      <c r="AJ17" s="254">
        <v>7544</v>
      </c>
      <c r="AK17" s="487">
        <v>7544</v>
      </c>
      <c r="AL17" s="254">
        <v>12063</v>
      </c>
      <c r="AM17" s="487">
        <v>12063</v>
      </c>
      <c r="AN17" s="254">
        <v>12865</v>
      </c>
      <c r="AO17" s="487">
        <v>12865</v>
      </c>
      <c r="AP17" s="257">
        <v>15231</v>
      </c>
      <c r="AQ17" s="487">
        <v>15231</v>
      </c>
      <c r="AR17" s="257">
        <v>27891</v>
      </c>
      <c r="AS17" s="487">
        <v>27891</v>
      </c>
      <c r="AT17" s="257">
        <v>26992</v>
      </c>
      <c r="AU17" s="487">
        <v>26992</v>
      </c>
      <c r="AV17" s="257">
        <v>30867</v>
      </c>
      <c r="AW17" s="487">
        <v>30867</v>
      </c>
      <c r="AX17" s="257">
        <v>28741</v>
      </c>
      <c r="AY17" s="487">
        <v>28741</v>
      </c>
      <c r="AZ17" s="257">
        <v>22761</v>
      </c>
      <c r="BA17" s="487">
        <v>22761</v>
      </c>
      <c r="BB17" s="257">
        <v>21234</v>
      </c>
      <c r="BC17" s="487">
        <v>21234</v>
      </c>
      <c r="BD17" s="487">
        <v>24996</v>
      </c>
      <c r="BE17" s="487">
        <v>22301</v>
      </c>
      <c r="BF17" s="487">
        <v>22198</v>
      </c>
      <c r="BG17" s="487">
        <v>21698</v>
      </c>
      <c r="BH17" s="487">
        <v>21406</v>
      </c>
      <c r="BI17" s="487">
        <v>19513</v>
      </c>
      <c r="BJ17" s="487">
        <v>19513</v>
      </c>
      <c r="BK17" s="487">
        <v>19513</v>
      </c>
      <c r="BL17" s="487">
        <v>25318</v>
      </c>
      <c r="BM17" s="487">
        <v>23748</v>
      </c>
      <c r="BN17" s="487">
        <v>23171</v>
      </c>
      <c r="BO17" s="487">
        <v>22401</v>
      </c>
      <c r="BP17" s="487">
        <v>22364</v>
      </c>
      <c r="BQ17" s="487">
        <v>19797</v>
      </c>
      <c r="BR17" s="487">
        <v>25728</v>
      </c>
      <c r="BS17" s="487">
        <v>25793</v>
      </c>
      <c r="BT17" s="490">
        <v>24588</v>
      </c>
    </row>
    <row r="18" spans="1:120" s="228" customFormat="1" ht="15" customHeight="1" x14ac:dyDescent="0.2">
      <c r="A18" s="226" t="s">
        <v>584</v>
      </c>
      <c r="B18" s="253">
        <v>0</v>
      </c>
      <c r="C18" s="487">
        <v>0</v>
      </c>
      <c r="D18" s="253">
        <v>0</v>
      </c>
      <c r="E18" s="487">
        <v>0</v>
      </c>
      <c r="F18" s="253">
        <v>-61</v>
      </c>
      <c r="G18" s="487">
        <v>-994</v>
      </c>
      <c r="H18" s="254">
        <v>-41</v>
      </c>
      <c r="I18" s="487">
        <v>-461</v>
      </c>
      <c r="J18" s="254">
        <v>-42</v>
      </c>
      <c r="K18" s="487">
        <v>-473</v>
      </c>
      <c r="L18" s="254">
        <v>-46</v>
      </c>
      <c r="M18" s="487">
        <v>-481</v>
      </c>
      <c r="N18" s="254">
        <v>-51</v>
      </c>
      <c r="O18" s="487">
        <v>-497</v>
      </c>
      <c r="P18" s="254">
        <v>-54</v>
      </c>
      <c r="Q18" s="487">
        <v>-305</v>
      </c>
      <c r="R18" s="254">
        <v>-53</v>
      </c>
      <c r="S18" s="487">
        <v>-314</v>
      </c>
      <c r="T18" s="254">
        <v>-61</v>
      </c>
      <c r="U18" s="487">
        <v>-321</v>
      </c>
      <c r="V18" s="254">
        <v>-62</v>
      </c>
      <c r="W18" s="487">
        <v>-329</v>
      </c>
      <c r="X18" s="254">
        <v>-86</v>
      </c>
      <c r="Y18" s="487">
        <v>-224</v>
      </c>
      <c r="Z18" s="254">
        <v>-85</v>
      </c>
      <c r="AA18" s="487">
        <v>-228</v>
      </c>
      <c r="AB18" s="254">
        <v>-89</v>
      </c>
      <c r="AC18" s="487">
        <v>-234</v>
      </c>
      <c r="AD18" s="254">
        <v>-92</v>
      </c>
      <c r="AE18" s="487">
        <v>-240</v>
      </c>
      <c r="AF18" s="254">
        <v>-95</v>
      </c>
      <c r="AG18" s="487">
        <v>-123</v>
      </c>
      <c r="AH18" s="254">
        <v>-97</v>
      </c>
      <c r="AI18" s="487">
        <v>-126</v>
      </c>
      <c r="AJ18" s="254">
        <v>-97</v>
      </c>
      <c r="AK18" s="487">
        <v>-130</v>
      </c>
      <c r="AL18" s="254">
        <v>-99</v>
      </c>
      <c r="AM18" s="487">
        <v>-134</v>
      </c>
      <c r="AN18" s="254">
        <v>-103</v>
      </c>
      <c r="AO18" s="487">
        <v>-103</v>
      </c>
      <c r="AP18" s="257">
        <v>-107</v>
      </c>
      <c r="AQ18" s="487">
        <v>-107</v>
      </c>
      <c r="AR18" s="257">
        <v>-107</v>
      </c>
      <c r="AS18" s="487">
        <v>-107</v>
      </c>
      <c r="AT18" s="257">
        <v>-108</v>
      </c>
      <c r="AU18" s="487">
        <v>-108</v>
      </c>
      <c r="AV18" s="257">
        <v>-128</v>
      </c>
      <c r="AW18" s="487">
        <v>-128</v>
      </c>
      <c r="AX18" s="257">
        <v>-129</v>
      </c>
      <c r="AY18" s="487">
        <v>-129</v>
      </c>
      <c r="AZ18" s="257">
        <v>-130</v>
      </c>
      <c r="BA18" s="487">
        <v>-130</v>
      </c>
      <c r="BB18" s="257">
        <v>-132</v>
      </c>
      <c r="BC18" s="487">
        <v>-132</v>
      </c>
      <c r="BD18" s="487">
        <v>0</v>
      </c>
      <c r="BE18" s="487">
        <v>0</v>
      </c>
      <c r="BF18" s="487">
        <v>0</v>
      </c>
      <c r="BG18" s="487">
        <v>0</v>
      </c>
      <c r="BH18" s="487">
        <v>0</v>
      </c>
      <c r="BI18" s="487">
        <v>0</v>
      </c>
      <c r="BJ18" s="487">
        <v>0</v>
      </c>
      <c r="BK18" s="487">
        <v>0</v>
      </c>
      <c r="BL18" s="487">
        <v>0</v>
      </c>
      <c r="BM18" s="487">
        <v>0</v>
      </c>
      <c r="BN18" s="487">
        <v>0</v>
      </c>
      <c r="BO18" s="487">
        <v>0</v>
      </c>
      <c r="BP18" s="487">
        <v>0</v>
      </c>
      <c r="BQ18" s="487">
        <v>0</v>
      </c>
      <c r="BR18" s="487">
        <v>0</v>
      </c>
      <c r="BS18" s="487">
        <v>0</v>
      </c>
      <c r="BT18" s="490">
        <v>0</v>
      </c>
    </row>
    <row r="19" spans="1:120" s="228" customFormat="1" ht="5.0999999999999996" customHeight="1" x14ac:dyDescent="0.2">
      <c r="A19" s="226"/>
      <c r="B19" s="253"/>
      <c r="C19" s="487"/>
      <c r="D19" s="253"/>
      <c r="E19" s="487"/>
      <c r="F19" s="253"/>
      <c r="G19" s="487"/>
      <c r="H19" s="254"/>
      <c r="I19" s="487"/>
      <c r="J19" s="254"/>
      <c r="K19" s="487"/>
      <c r="L19" s="254"/>
      <c r="M19" s="487"/>
      <c r="N19" s="254"/>
      <c r="O19" s="487"/>
      <c r="P19" s="254"/>
      <c r="Q19" s="487"/>
      <c r="R19" s="254"/>
      <c r="S19" s="487"/>
      <c r="T19" s="254"/>
      <c r="U19" s="487"/>
      <c r="V19" s="254"/>
      <c r="W19" s="487"/>
      <c r="X19" s="254"/>
      <c r="Y19" s="487"/>
      <c r="Z19" s="254"/>
      <c r="AA19" s="487"/>
      <c r="AB19" s="254"/>
      <c r="AC19" s="487"/>
      <c r="AD19" s="254"/>
      <c r="AE19" s="487"/>
      <c r="AF19" s="254"/>
      <c r="AG19" s="487"/>
      <c r="AH19" s="254"/>
      <c r="AI19" s="487"/>
      <c r="AJ19" s="254"/>
      <c r="AK19" s="487"/>
      <c r="AL19" s="254"/>
      <c r="AM19" s="487"/>
      <c r="AN19" s="254"/>
      <c r="AO19" s="487"/>
      <c r="AP19" s="257"/>
      <c r="AQ19" s="487"/>
      <c r="AR19" s="257"/>
      <c r="AS19" s="487"/>
      <c r="AT19" s="257"/>
      <c r="AU19" s="487"/>
      <c r="AV19" s="257"/>
      <c r="AW19" s="487"/>
      <c r="AX19" s="257"/>
      <c r="AY19" s="487"/>
      <c r="AZ19" s="257"/>
      <c r="BA19" s="487"/>
      <c r="BB19" s="257"/>
      <c r="BC19" s="487"/>
      <c r="BD19" s="487"/>
      <c r="BE19" s="487"/>
      <c r="BF19" s="487"/>
      <c r="BG19" s="487"/>
      <c r="BH19" s="487"/>
      <c r="BI19" s="487"/>
      <c r="BJ19" s="487"/>
      <c r="BK19" s="487"/>
      <c r="BL19" s="487"/>
      <c r="BM19" s="487"/>
      <c r="BN19" s="487"/>
      <c r="BO19" s="487"/>
      <c r="BP19" s="487"/>
      <c r="BQ19" s="487"/>
      <c r="BR19" s="487"/>
      <c r="BS19" s="487"/>
      <c r="BT19" s="490"/>
    </row>
    <row r="20" spans="1:120" s="228" customFormat="1" ht="15" customHeight="1" x14ac:dyDescent="0.2">
      <c r="A20" s="226" t="s">
        <v>316</v>
      </c>
      <c r="B20" s="253">
        <v>13506</v>
      </c>
      <c r="C20" s="487">
        <v>10698</v>
      </c>
      <c r="D20" s="253">
        <v>14922</v>
      </c>
      <c r="E20" s="487">
        <v>11967</v>
      </c>
      <c r="F20" s="253">
        <v>12688</v>
      </c>
      <c r="G20" s="487">
        <v>8609</v>
      </c>
      <c r="H20" s="254">
        <v>12506</v>
      </c>
      <c r="I20" s="487">
        <v>8807</v>
      </c>
      <c r="J20" s="254">
        <v>12881</v>
      </c>
      <c r="K20" s="487">
        <v>9106</v>
      </c>
      <c r="L20" s="254">
        <v>10271</v>
      </c>
      <c r="M20" s="487">
        <v>6460</v>
      </c>
      <c r="N20" s="254">
        <v>14550</v>
      </c>
      <c r="O20" s="487">
        <v>13216</v>
      </c>
      <c r="P20" s="254">
        <v>16716</v>
      </c>
      <c r="Q20" s="487">
        <v>14945</v>
      </c>
      <c r="R20" s="254">
        <v>16128</v>
      </c>
      <c r="S20" s="487">
        <v>14902</v>
      </c>
      <c r="T20" s="254">
        <v>19202</v>
      </c>
      <c r="U20" s="487">
        <v>17702</v>
      </c>
      <c r="V20" s="254">
        <v>20800</v>
      </c>
      <c r="W20" s="487">
        <v>20305</v>
      </c>
      <c r="X20" s="254">
        <v>21090</v>
      </c>
      <c r="Y20" s="487">
        <v>21419</v>
      </c>
      <c r="Z20" s="254">
        <v>19140</v>
      </c>
      <c r="AA20" s="487">
        <v>19310</v>
      </c>
      <c r="AB20" s="254">
        <v>15983</v>
      </c>
      <c r="AC20" s="487">
        <v>16339</v>
      </c>
      <c r="AD20" s="254">
        <v>17354</v>
      </c>
      <c r="AE20" s="487">
        <v>16749</v>
      </c>
      <c r="AF20" s="254">
        <v>15090</v>
      </c>
      <c r="AG20" s="487">
        <v>14253</v>
      </c>
      <c r="AH20" s="254">
        <v>16838</v>
      </c>
      <c r="AI20" s="487">
        <v>16094</v>
      </c>
      <c r="AJ20" s="254">
        <v>16277</v>
      </c>
      <c r="AK20" s="487">
        <v>15663</v>
      </c>
      <c r="AL20" s="254">
        <v>18125</v>
      </c>
      <c r="AM20" s="487">
        <v>17413</v>
      </c>
      <c r="AN20" s="254">
        <v>19057</v>
      </c>
      <c r="AO20" s="487">
        <v>19317</v>
      </c>
      <c r="AP20" s="257">
        <v>19581</v>
      </c>
      <c r="AQ20" s="487">
        <v>20051</v>
      </c>
      <c r="AR20" s="257">
        <v>31144</v>
      </c>
      <c r="AS20" s="487">
        <v>31696</v>
      </c>
      <c r="AT20" s="257">
        <v>27865</v>
      </c>
      <c r="AU20" s="487">
        <v>28298</v>
      </c>
      <c r="AV20" s="257">
        <v>30899</v>
      </c>
      <c r="AW20" s="487">
        <v>30876</v>
      </c>
      <c r="AX20" s="257">
        <v>28337</v>
      </c>
      <c r="AY20" s="487">
        <v>28406</v>
      </c>
      <c r="AZ20" s="257">
        <v>26179</v>
      </c>
      <c r="BA20" s="487">
        <v>26239</v>
      </c>
      <c r="BB20" s="257">
        <v>30616</v>
      </c>
      <c r="BC20" s="487">
        <v>30716</v>
      </c>
      <c r="BD20" s="487">
        <v>32359</v>
      </c>
      <c r="BE20" s="487">
        <v>27776</v>
      </c>
      <c r="BF20" s="487">
        <v>28480</v>
      </c>
      <c r="BG20" s="487">
        <v>31062</v>
      </c>
      <c r="BH20" s="487">
        <v>32912</v>
      </c>
      <c r="BI20" s="487">
        <v>26005</v>
      </c>
      <c r="BJ20" s="487">
        <v>30220</v>
      </c>
      <c r="BK20" s="487">
        <v>22258</v>
      </c>
      <c r="BL20" s="487">
        <v>35481</v>
      </c>
      <c r="BM20" s="487">
        <v>34919</v>
      </c>
      <c r="BN20" s="487">
        <v>38686</v>
      </c>
      <c r="BO20" s="487">
        <v>22769</v>
      </c>
      <c r="BP20" s="487">
        <v>28946</v>
      </c>
      <c r="BQ20" s="487">
        <v>26099</v>
      </c>
      <c r="BR20" s="487">
        <v>36549</v>
      </c>
      <c r="BS20" s="487">
        <v>50758</v>
      </c>
      <c r="BT20" s="490">
        <v>48115</v>
      </c>
    </row>
    <row r="21" spans="1:120" s="228" customFormat="1" ht="5.0999999999999996" customHeight="1" x14ac:dyDescent="0.2">
      <c r="A21" s="226"/>
      <c r="B21" s="253"/>
      <c r="C21" s="487"/>
      <c r="D21" s="253"/>
      <c r="E21" s="487"/>
      <c r="F21" s="253"/>
      <c r="G21" s="487"/>
      <c r="H21" s="254"/>
      <c r="I21" s="487"/>
      <c r="J21" s="254"/>
      <c r="K21" s="487"/>
      <c r="L21" s="254"/>
      <c r="M21" s="487"/>
      <c r="N21" s="254"/>
      <c r="O21" s="487"/>
      <c r="P21" s="254"/>
      <c r="Q21" s="487"/>
      <c r="R21" s="254"/>
      <c r="S21" s="487"/>
      <c r="T21" s="254"/>
      <c r="U21" s="487"/>
      <c r="V21" s="254"/>
      <c r="W21" s="487"/>
      <c r="X21" s="254"/>
      <c r="Y21" s="487"/>
      <c r="Z21" s="254"/>
      <c r="AA21" s="487"/>
      <c r="AB21" s="254"/>
      <c r="AC21" s="487"/>
      <c r="AD21" s="254"/>
      <c r="AE21" s="487"/>
      <c r="AF21" s="254"/>
      <c r="AG21" s="487"/>
      <c r="AH21" s="254"/>
      <c r="AI21" s="487"/>
      <c r="AJ21" s="254"/>
      <c r="AK21" s="487"/>
      <c r="AL21" s="254"/>
      <c r="AM21" s="487"/>
      <c r="AN21" s="254"/>
      <c r="AO21" s="487"/>
      <c r="AP21" s="257"/>
      <c r="AQ21" s="487"/>
      <c r="AR21" s="257"/>
      <c r="AS21" s="487"/>
      <c r="AT21" s="257"/>
      <c r="AU21" s="487"/>
      <c r="AV21" s="257"/>
      <c r="AW21" s="487"/>
      <c r="AX21" s="257"/>
      <c r="AY21" s="487"/>
      <c r="AZ21" s="257"/>
      <c r="BA21" s="487"/>
      <c r="BB21" s="257"/>
      <c r="BC21" s="487"/>
      <c r="BD21" s="487"/>
      <c r="BE21" s="487"/>
      <c r="BF21" s="487"/>
      <c r="BG21" s="487"/>
      <c r="BH21" s="487"/>
      <c r="BI21" s="487"/>
      <c r="BJ21" s="487"/>
      <c r="BK21" s="487"/>
      <c r="BL21" s="487"/>
      <c r="BM21" s="487"/>
      <c r="BN21" s="487"/>
      <c r="BO21" s="487"/>
      <c r="BP21" s="487"/>
      <c r="BQ21" s="487"/>
      <c r="BR21" s="487"/>
      <c r="BS21" s="487"/>
      <c r="BT21" s="487"/>
    </row>
    <row r="22" spans="1:120" s="287" customFormat="1" ht="15" customHeight="1" thickBot="1" x14ac:dyDescent="0.25">
      <c r="A22" s="477" t="s">
        <v>317</v>
      </c>
      <c r="B22" s="285">
        <f t="shared" ref="B22:U22" si="3">B15/B12*100</f>
        <v>17.759216906962664</v>
      </c>
      <c r="C22" s="489">
        <f t="shared" si="3"/>
        <v>15.738144905199103</v>
      </c>
      <c r="D22" s="285">
        <f t="shared" si="3"/>
        <v>18.165883081769767</v>
      </c>
      <c r="E22" s="489">
        <f t="shared" si="3"/>
        <v>16.107170597222577</v>
      </c>
      <c r="F22" s="285">
        <f t="shared" si="3"/>
        <v>16.254280875099905</v>
      </c>
      <c r="G22" s="489">
        <f t="shared" si="3"/>
        <v>14.203792739018473</v>
      </c>
      <c r="H22" s="285">
        <f t="shared" si="3"/>
        <v>15.646736222578919</v>
      </c>
      <c r="I22" s="489">
        <f t="shared" si="3"/>
        <v>13.967971530249109</v>
      </c>
      <c r="J22" s="285">
        <f t="shared" si="3"/>
        <v>15.548344497134606</v>
      </c>
      <c r="K22" s="489">
        <f t="shared" si="3"/>
        <v>13.920048230170796</v>
      </c>
      <c r="L22" s="285">
        <f t="shared" si="3"/>
        <v>14.352247730076567</v>
      </c>
      <c r="M22" s="489">
        <f t="shared" si="3"/>
        <v>12.917560936512034</v>
      </c>
      <c r="N22" s="285">
        <f t="shared" si="3"/>
        <v>16.211530746747666</v>
      </c>
      <c r="O22" s="489">
        <f t="shared" si="3"/>
        <v>15.615145811435136</v>
      </c>
      <c r="P22" s="285">
        <f t="shared" si="3"/>
        <v>16.927533970667501</v>
      </c>
      <c r="Q22" s="489">
        <f t="shared" si="3"/>
        <v>16.086958001613358</v>
      </c>
      <c r="R22" s="285">
        <f t="shared" si="3"/>
        <v>16.579998962063421</v>
      </c>
      <c r="S22" s="489">
        <f t="shared" si="3"/>
        <v>16.035466169275267</v>
      </c>
      <c r="T22" s="285">
        <f t="shared" si="3"/>
        <v>17.746111714218461</v>
      </c>
      <c r="U22" s="489">
        <f t="shared" si="3"/>
        <v>17.003432090726573</v>
      </c>
      <c r="V22" s="285">
        <v>17.920000000000002</v>
      </c>
      <c r="W22" s="489">
        <f t="shared" ref="W22:BP22" si="4">W15/W12*100</f>
        <v>17.728557558164582</v>
      </c>
      <c r="X22" s="285">
        <f t="shared" si="4"/>
        <v>17.749161567804205</v>
      </c>
      <c r="Y22" s="489">
        <f t="shared" si="4"/>
        <v>17.827418804726523</v>
      </c>
      <c r="Z22" s="285">
        <f t="shared" si="4"/>
        <v>16.762560253387889</v>
      </c>
      <c r="AA22" s="489">
        <f t="shared" si="4"/>
        <v>16.779654422086338</v>
      </c>
      <c r="AB22" s="285">
        <f t="shared" si="4"/>
        <v>15.798670533768084</v>
      </c>
      <c r="AC22" s="489">
        <f t="shared" si="4"/>
        <v>15.914929458833438</v>
      </c>
      <c r="AD22" s="285">
        <f t="shared" si="4"/>
        <v>15.986345690789664</v>
      </c>
      <c r="AE22" s="489">
        <f t="shared" si="4"/>
        <v>15.703321791728797</v>
      </c>
      <c r="AF22" s="285">
        <f t="shared" si="4"/>
        <v>15.060788883088366</v>
      </c>
      <c r="AG22" s="489">
        <f t="shared" si="4"/>
        <v>14.742519246725694</v>
      </c>
      <c r="AH22" s="285">
        <f t="shared" si="4"/>
        <v>15.327442907588162</v>
      </c>
      <c r="AI22" s="489">
        <f t="shared" si="4"/>
        <v>15.039290438030031</v>
      </c>
      <c r="AJ22" s="285">
        <f t="shared" si="4"/>
        <v>14.897468560537128</v>
      </c>
      <c r="AK22" s="489">
        <f t="shared" si="4"/>
        <v>14.676754137842805</v>
      </c>
      <c r="AL22" s="285">
        <f t="shared" si="4"/>
        <v>14.958892859327083</v>
      </c>
      <c r="AM22" s="489">
        <f t="shared" si="4"/>
        <v>14.727122511269119</v>
      </c>
      <c r="AN22" s="285">
        <f t="shared" si="4"/>
        <v>15.02578305057534</v>
      </c>
      <c r="AO22" s="489">
        <f t="shared" si="4"/>
        <v>15.073855056814828</v>
      </c>
      <c r="AP22" s="285">
        <f t="shared" si="4"/>
        <v>14.862567020030063</v>
      </c>
      <c r="AQ22" s="489">
        <f t="shared" si="4"/>
        <v>14.963216546031695</v>
      </c>
      <c r="AR22" s="285">
        <f t="shared" si="4"/>
        <v>16.831922340132692</v>
      </c>
      <c r="AS22" s="489">
        <f t="shared" si="4"/>
        <v>16.959375487665245</v>
      </c>
      <c r="AT22" s="285">
        <f t="shared" si="4"/>
        <v>15.867556378500183</v>
      </c>
      <c r="AU22" s="489">
        <f t="shared" si="4"/>
        <v>15.952514714452978</v>
      </c>
      <c r="AV22" s="285">
        <f t="shared" si="4"/>
        <v>16.171201250504168</v>
      </c>
      <c r="AW22" s="489">
        <f t="shared" si="4"/>
        <v>16.141510690734698</v>
      </c>
      <c r="AX22" s="285">
        <f t="shared" si="4"/>
        <v>15.57992154682381</v>
      </c>
      <c r="AY22" s="489">
        <f t="shared" si="4"/>
        <v>15.573961867374722</v>
      </c>
      <c r="AZ22" s="285">
        <f t="shared" si="4"/>
        <v>15.352907529713802</v>
      </c>
      <c r="BA22" s="489">
        <f t="shared" si="4"/>
        <v>15.347590304552632</v>
      </c>
      <c r="BB22" s="285">
        <f t="shared" si="4"/>
        <v>16.421613332223615</v>
      </c>
      <c r="BC22" s="489">
        <f t="shared" si="4"/>
        <v>16.41928238858004</v>
      </c>
      <c r="BD22" s="489">
        <f t="shared" si="4"/>
        <v>16.610232377504648</v>
      </c>
      <c r="BE22" s="489">
        <f t="shared" si="4"/>
        <v>15.740002832808011</v>
      </c>
      <c r="BF22" s="489">
        <f t="shared" si="4"/>
        <v>15.77481696082031</v>
      </c>
      <c r="BG22" s="489">
        <f t="shared" si="4"/>
        <v>16.275953202706742</v>
      </c>
      <c r="BH22" s="489">
        <f t="shared" si="4"/>
        <v>16.510859609553041</v>
      </c>
      <c r="BI22" s="489">
        <f t="shared" si="4"/>
        <v>15.231363513588276</v>
      </c>
      <c r="BJ22" s="489">
        <f t="shared" si="4"/>
        <v>15.976753301077359</v>
      </c>
      <c r="BK22" s="489">
        <f t="shared" si="4"/>
        <v>14.456675011336742</v>
      </c>
      <c r="BL22" s="489">
        <f t="shared" si="4"/>
        <v>16.795515315647883</v>
      </c>
      <c r="BM22" s="489">
        <f t="shared" si="4"/>
        <v>16.861237047991043</v>
      </c>
      <c r="BN22" s="489">
        <f t="shared" si="4"/>
        <v>17.663391712943184</v>
      </c>
      <c r="BO22" s="489">
        <f t="shared" si="4"/>
        <v>14.464778101736595</v>
      </c>
      <c r="BP22" s="489">
        <f t="shared" si="4"/>
        <v>15.411261084839886</v>
      </c>
      <c r="BQ22" s="489">
        <f t="shared" ref="BQ22:BR22" si="5">BQ15/BQ12*100</f>
        <v>15.296379703159364</v>
      </c>
      <c r="BR22" s="489">
        <f t="shared" si="5"/>
        <v>16.658287679979825</v>
      </c>
      <c r="BS22" s="489">
        <v>17.7</v>
      </c>
      <c r="BT22" s="489">
        <v>17.100000000000001</v>
      </c>
      <c r="BU22" s="286"/>
      <c r="BV22" s="286"/>
      <c r="BW22" s="286"/>
      <c r="BX22" s="286"/>
      <c r="BY22" s="286"/>
      <c r="BZ22" s="286"/>
      <c r="CA22" s="286"/>
      <c r="CB22" s="286"/>
      <c r="CC22" s="286"/>
      <c r="CD22" s="286"/>
      <c r="CE22" s="286"/>
      <c r="CF22" s="286"/>
      <c r="CG22" s="286"/>
      <c r="CH22" s="286"/>
      <c r="CI22" s="286"/>
      <c r="CJ22" s="286"/>
      <c r="CK22" s="286"/>
      <c r="CL22" s="286"/>
      <c r="CM22" s="286"/>
      <c r="CN22" s="286"/>
      <c r="CO22" s="286"/>
      <c r="CP22" s="286"/>
      <c r="CQ22" s="286"/>
      <c r="CR22" s="286"/>
      <c r="CS22" s="286"/>
      <c r="CT22" s="286"/>
      <c r="CU22" s="286"/>
      <c r="CV22" s="286"/>
      <c r="CW22" s="286"/>
      <c r="CX22" s="286"/>
      <c r="CY22" s="286"/>
      <c r="CZ22" s="286"/>
      <c r="DA22" s="286"/>
      <c r="DB22" s="286"/>
      <c r="DC22" s="286"/>
      <c r="DD22" s="286"/>
      <c r="DE22" s="286"/>
      <c r="DF22" s="286"/>
      <c r="DG22" s="286"/>
      <c r="DH22" s="286"/>
      <c r="DI22" s="286"/>
      <c r="DJ22" s="286"/>
      <c r="DK22" s="286"/>
      <c r="DL22" s="286"/>
      <c r="DM22" s="286"/>
      <c r="DN22" s="286"/>
      <c r="DO22" s="286"/>
      <c r="DP22" s="286"/>
    </row>
    <row r="23" spans="1:120" s="13" customFormat="1" ht="15" customHeight="1" thickTop="1" x14ac:dyDescent="0.2">
      <c r="A23" s="117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</row>
    <row r="24" spans="1:120" s="13" customFormat="1" ht="24" x14ac:dyDescent="0.2">
      <c r="A24" s="663" t="s">
        <v>318</v>
      </c>
      <c r="B24" s="15"/>
      <c r="C24" s="15"/>
      <c r="E24" s="15"/>
      <c r="BF24" s="117"/>
      <c r="BG24" s="117"/>
      <c r="BH24" s="117"/>
      <c r="BI24" s="117"/>
      <c r="BJ24" s="117"/>
    </row>
    <row r="25" spans="1:120" s="13" customFormat="1" ht="38.25" customHeight="1" x14ac:dyDescent="0.2">
      <c r="A25" s="663" t="s">
        <v>319</v>
      </c>
      <c r="B25" s="15"/>
      <c r="C25" s="15"/>
      <c r="E25" s="15"/>
      <c r="BF25" s="117"/>
      <c r="BG25" s="117"/>
      <c r="BH25" s="117"/>
      <c r="BI25" s="117"/>
      <c r="BJ25" s="117"/>
    </row>
    <row r="26" spans="1:120" s="13" customFormat="1" ht="30" customHeight="1" x14ac:dyDescent="0.2">
      <c r="A26" s="663" t="s">
        <v>320</v>
      </c>
      <c r="B26" s="15"/>
      <c r="C26" s="15"/>
      <c r="E26" s="15"/>
      <c r="BF26" s="117"/>
      <c r="BG26" s="117"/>
      <c r="BH26" s="117"/>
      <c r="BI26" s="117"/>
      <c r="BJ26" s="117"/>
    </row>
    <row r="27" spans="1:120" s="13" customFormat="1" ht="15" customHeight="1" x14ac:dyDescent="0.2">
      <c r="A27" s="117"/>
      <c r="J27" s="75"/>
      <c r="L27" s="75"/>
      <c r="R27" s="75"/>
    </row>
    <row r="28" spans="1:120" s="13" customFormat="1" ht="15" customHeight="1" x14ac:dyDescent="0.2">
      <c r="A28" s="117"/>
    </row>
    <row r="29" spans="1:120" s="13" customFormat="1" ht="15" customHeight="1" x14ac:dyDescent="0.2">
      <c r="A29" s="472"/>
    </row>
    <row r="30" spans="1:120" s="13" customFormat="1" ht="15" customHeight="1" x14ac:dyDescent="0.2">
      <c r="A30" s="117"/>
    </row>
    <row r="31" spans="1:120" s="13" customFormat="1" ht="15" customHeight="1" x14ac:dyDescent="0.2">
      <c r="A31" s="117"/>
    </row>
    <row r="32" spans="1:120" s="13" customFormat="1" ht="15" customHeight="1" x14ac:dyDescent="0.2">
      <c r="A32" s="117"/>
    </row>
    <row r="33" spans="1:1" s="13" customFormat="1" ht="15" customHeight="1" x14ac:dyDescent="0.2">
      <c r="A33" s="117"/>
    </row>
    <row r="34" spans="1:1" s="13" customFormat="1" ht="15" customHeight="1" x14ac:dyDescent="0.2">
      <c r="A34" s="117"/>
    </row>
    <row r="35" spans="1:1" s="13" customFormat="1" ht="15" customHeight="1" x14ac:dyDescent="0.2">
      <c r="A35" s="117"/>
    </row>
    <row r="36" spans="1:1" s="13" customFormat="1" ht="15" customHeight="1" x14ac:dyDescent="0.2">
      <c r="A36" s="117"/>
    </row>
    <row r="37" spans="1:1" s="13" customFormat="1" ht="15" customHeight="1" x14ac:dyDescent="0.2">
      <c r="A37" s="117"/>
    </row>
    <row r="38" spans="1:1" s="13" customFormat="1" ht="15" customHeight="1" x14ac:dyDescent="0.2">
      <c r="A38" s="117"/>
    </row>
    <row r="39" spans="1:1" s="13" customFormat="1" ht="15" customHeight="1" x14ac:dyDescent="0.2">
      <c r="A39" s="117"/>
    </row>
    <row r="40" spans="1:1" s="13" customFormat="1" ht="15" customHeight="1" x14ac:dyDescent="0.2">
      <c r="A40" s="117"/>
    </row>
    <row r="41" spans="1:1" s="13" customFormat="1" ht="15" customHeight="1" x14ac:dyDescent="0.2">
      <c r="A41" s="117"/>
    </row>
    <row r="42" spans="1:1" s="13" customFormat="1" ht="15" customHeight="1" x14ac:dyDescent="0.2">
      <c r="A42" s="117"/>
    </row>
    <row r="43" spans="1:1" s="13" customFormat="1" ht="15" customHeight="1" x14ac:dyDescent="0.2">
      <c r="A43" s="117"/>
    </row>
    <row r="44" spans="1:1" s="13" customFormat="1" ht="15" customHeight="1" x14ac:dyDescent="0.2">
      <c r="A44" s="117"/>
    </row>
    <row r="45" spans="1:1" s="13" customFormat="1" ht="15" customHeight="1" x14ac:dyDescent="0.2">
      <c r="A45" s="117"/>
    </row>
    <row r="46" spans="1:1" s="13" customFormat="1" ht="15" customHeight="1" x14ac:dyDescent="0.2">
      <c r="A46" s="117"/>
    </row>
    <row r="47" spans="1:1" s="13" customFormat="1" ht="15" customHeight="1" x14ac:dyDescent="0.2">
      <c r="A47" s="117"/>
    </row>
    <row r="48" spans="1:1" s="13" customFormat="1" ht="15" customHeight="1" x14ac:dyDescent="0.2">
      <c r="A48" s="117"/>
    </row>
    <row r="49" spans="1:1" s="13" customFormat="1" ht="15" customHeight="1" x14ac:dyDescent="0.2">
      <c r="A49" s="117"/>
    </row>
    <row r="50" spans="1:1" s="13" customFormat="1" ht="15" customHeight="1" x14ac:dyDescent="0.2">
      <c r="A50" s="117"/>
    </row>
    <row r="51" spans="1:1" s="13" customFormat="1" ht="15" customHeight="1" x14ac:dyDescent="0.2">
      <c r="A51" s="117"/>
    </row>
    <row r="52" spans="1:1" s="13" customFormat="1" ht="15" customHeight="1" x14ac:dyDescent="0.2">
      <c r="A52" s="117"/>
    </row>
    <row r="53" spans="1:1" s="13" customFormat="1" ht="15" customHeight="1" x14ac:dyDescent="0.2">
      <c r="A53" s="117"/>
    </row>
    <row r="54" spans="1:1" s="13" customFormat="1" ht="15" customHeight="1" x14ac:dyDescent="0.2">
      <c r="A54" s="117"/>
    </row>
    <row r="55" spans="1:1" s="13" customFormat="1" ht="15" customHeight="1" x14ac:dyDescent="0.2">
      <c r="A55" s="117"/>
    </row>
    <row r="56" spans="1:1" s="13" customFormat="1" ht="15" customHeight="1" x14ac:dyDescent="0.2">
      <c r="A56" s="117"/>
    </row>
    <row r="57" spans="1:1" s="13" customFormat="1" ht="15" customHeight="1" x14ac:dyDescent="0.2">
      <c r="A57" s="117"/>
    </row>
    <row r="58" spans="1:1" s="13" customFormat="1" ht="15" customHeight="1" x14ac:dyDescent="0.2">
      <c r="A58" s="117"/>
    </row>
    <row r="59" spans="1:1" s="13" customFormat="1" ht="15" customHeight="1" x14ac:dyDescent="0.2">
      <c r="A59" s="117"/>
    </row>
    <row r="60" spans="1:1" s="13" customFormat="1" ht="15" customHeight="1" x14ac:dyDescent="0.2">
      <c r="A60" s="117"/>
    </row>
    <row r="61" spans="1:1" s="13" customFormat="1" ht="15" customHeight="1" x14ac:dyDescent="0.2">
      <c r="A61" s="117"/>
    </row>
    <row r="62" spans="1:1" s="13" customFormat="1" ht="15" customHeight="1" x14ac:dyDescent="0.2">
      <c r="A62" s="117"/>
    </row>
    <row r="63" spans="1:1" s="13" customFormat="1" ht="15" customHeight="1" x14ac:dyDescent="0.2">
      <c r="A63" s="117"/>
    </row>
    <row r="64" spans="1:1" s="13" customFormat="1" ht="15" customHeight="1" x14ac:dyDescent="0.2">
      <c r="A64" s="117"/>
    </row>
    <row r="65" spans="1:1" s="13" customFormat="1" ht="15" customHeight="1" x14ac:dyDescent="0.2">
      <c r="A65" s="117"/>
    </row>
    <row r="66" spans="1:1" s="13" customFormat="1" ht="15" customHeight="1" x14ac:dyDescent="0.2">
      <c r="A66" s="117"/>
    </row>
    <row r="67" spans="1:1" s="13" customFormat="1" ht="15" customHeight="1" x14ac:dyDescent="0.2">
      <c r="A67" s="117"/>
    </row>
    <row r="68" spans="1:1" s="13" customFormat="1" ht="15" customHeight="1" x14ac:dyDescent="0.2">
      <c r="A68" s="117"/>
    </row>
    <row r="69" spans="1:1" s="13" customFormat="1" ht="15" customHeight="1" x14ac:dyDescent="0.2">
      <c r="A69" s="117"/>
    </row>
    <row r="70" spans="1:1" s="13" customFormat="1" ht="15" customHeight="1" x14ac:dyDescent="0.2">
      <c r="A70" s="117"/>
    </row>
    <row r="71" spans="1:1" s="13" customFormat="1" ht="15" customHeight="1" x14ac:dyDescent="0.2">
      <c r="A71" s="117"/>
    </row>
    <row r="72" spans="1:1" s="13" customFormat="1" ht="15" customHeight="1" x14ac:dyDescent="0.2">
      <c r="A72" s="117"/>
    </row>
    <row r="73" spans="1:1" s="13" customFormat="1" ht="15" customHeight="1" x14ac:dyDescent="0.2">
      <c r="A73" s="117"/>
    </row>
    <row r="74" spans="1:1" s="13" customFormat="1" ht="15" customHeight="1" x14ac:dyDescent="0.2">
      <c r="A74" s="117"/>
    </row>
    <row r="75" spans="1:1" s="13" customFormat="1" ht="15" customHeight="1" x14ac:dyDescent="0.2">
      <c r="A75" s="117"/>
    </row>
    <row r="76" spans="1:1" s="13" customFormat="1" ht="15" customHeight="1" x14ac:dyDescent="0.2">
      <c r="A76" s="117"/>
    </row>
    <row r="77" spans="1:1" s="13" customFormat="1" ht="15" customHeight="1" x14ac:dyDescent="0.2">
      <c r="A77" s="117"/>
    </row>
    <row r="78" spans="1:1" s="13" customFormat="1" ht="15" customHeight="1" x14ac:dyDescent="0.2">
      <c r="A78" s="117"/>
    </row>
    <row r="79" spans="1:1" s="13" customFormat="1" ht="15" customHeight="1" x14ac:dyDescent="0.2">
      <c r="A79" s="117"/>
    </row>
    <row r="80" spans="1:1" s="13" customFormat="1" ht="15" customHeight="1" x14ac:dyDescent="0.2">
      <c r="A80" s="117"/>
    </row>
    <row r="81" spans="1:1" s="13" customFormat="1" ht="15" customHeight="1" x14ac:dyDescent="0.2">
      <c r="A81" s="117"/>
    </row>
    <row r="82" spans="1:1" s="13" customFormat="1" ht="15" customHeight="1" x14ac:dyDescent="0.2">
      <c r="A82" s="117"/>
    </row>
    <row r="83" spans="1:1" s="13" customFormat="1" ht="15" customHeight="1" x14ac:dyDescent="0.2">
      <c r="A83" s="117"/>
    </row>
    <row r="84" spans="1:1" s="13" customFormat="1" ht="15" customHeight="1" x14ac:dyDescent="0.2">
      <c r="A84" s="117"/>
    </row>
    <row r="85" spans="1:1" s="13" customFormat="1" ht="15" customHeight="1" x14ac:dyDescent="0.2">
      <c r="A85" s="117"/>
    </row>
    <row r="86" spans="1:1" s="13" customFormat="1" ht="15" customHeight="1" x14ac:dyDescent="0.2">
      <c r="A86" s="117"/>
    </row>
    <row r="87" spans="1:1" s="13" customFormat="1" ht="15" customHeight="1" x14ac:dyDescent="0.2">
      <c r="A87" s="117"/>
    </row>
    <row r="88" spans="1:1" s="13" customFormat="1" ht="15" customHeight="1" x14ac:dyDescent="0.2">
      <c r="A88" s="117"/>
    </row>
    <row r="89" spans="1:1" s="13" customFormat="1" ht="15" customHeight="1" x14ac:dyDescent="0.2">
      <c r="A89" s="117"/>
    </row>
    <row r="90" spans="1:1" s="13" customFormat="1" ht="15" customHeight="1" x14ac:dyDescent="0.2">
      <c r="A90" s="117"/>
    </row>
    <row r="91" spans="1:1" s="13" customFormat="1" ht="15" customHeight="1" x14ac:dyDescent="0.2">
      <c r="A91" s="117"/>
    </row>
    <row r="92" spans="1:1" s="13" customFormat="1" ht="15" customHeight="1" x14ac:dyDescent="0.2">
      <c r="A92" s="117"/>
    </row>
    <row r="93" spans="1:1" s="13" customFormat="1" ht="15" customHeight="1" x14ac:dyDescent="0.2">
      <c r="A93" s="117"/>
    </row>
    <row r="94" spans="1:1" s="13" customFormat="1" ht="15" customHeight="1" x14ac:dyDescent="0.2">
      <c r="A94" s="117"/>
    </row>
    <row r="95" spans="1:1" s="13" customFormat="1" ht="15" customHeight="1" x14ac:dyDescent="0.2">
      <c r="A95" s="117"/>
    </row>
    <row r="96" spans="1:1" s="13" customFormat="1" ht="15" customHeight="1" x14ac:dyDescent="0.2">
      <c r="A96" s="117"/>
    </row>
    <row r="97" spans="1:1" s="13" customFormat="1" ht="15" customHeight="1" x14ac:dyDescent="0.2">
      <c r="A97" s="117"/>
    </row>
    <row r="98" spans="1:1" s="13" customFormat="1" ht="15" customHeight="1" x14ac:dyDescent="0.2">
      <c r="A98" s="117"/>
    </row>
    <row r="99" spans="1:1" s="13" customFormat="1" ht="15" customHeight="1" x14ac:dyDescent="0.2">
      <c r="A99" s="117"/>
    </row>
    <row r="100" spans="1:1" s="13" customFormat="1" ht="15" customHeight="1" x14ac:dyDescent="0.2">
      <c r="A100" s="117"/>
    </row>
    <row r="101" spans="1:1" s="13" customFormat="1" ht="15" customHeight="1" x14ac:dyDescent="0.2">
      <c r="A101" s="117"/>
    </row>
    <row r="102" spans="1:1" s="13" customFormat="1" ht="15" customHeight="1" x14ac:dyDescent="0.2">
      <c r="A102" s="117"/>
    </row>
    <row r="103" spans="1:1" s="13" customFormat="1" ht="15" customHeight="1" x14ac:dyDescent="0.2">
      <c r="A103" s="117"/>
    </row>
    <row r="104" spans="1:1" s="13" customFormat="1" ht="15" customHeight="1" x14ac:dyDescent="0.2">
      <c r="A104" s="117"/>
    </row>
    <row r="105" spans="1:1" s="13" customFormat="1" ht="15" customHeight="1" x14ac:dyDescent="0.2">
      <c r="A105" s="117"/>
    </row>
    <row r="106" spans="1:1" s="13" customFormat="1" ht="15" customHeight="1" x14ac:dyDescent="0.2">
      <c r="A106" s="117"/>
    </row>
    <row r="107" spans="1:1" s="13" customFormat="1" ht="15" customHeight="1" x14ac:dyDescent="0.2">
      <c r="A107" s="117"/>
    </row>
    <row r="108" spans="1:1" s="13" customFormat="1" ht="15" customHeight="1" x14ac:dyDescent="0.2">
      <c r="A108" s="117"/>
    </row>
    <row r="109" spans="1:1" s="13" customFormat="1" ht="15" customHeight="1" x14ac:dyDescent="0.2">
      <c r="A109" s="117"/>
    </row>
    <row r="110" spans="1:1" s="13" customFormat="1" ht="15" customHeight="1" x14ac:dyDescent="0.2">
      <c r="A110" s="117"/>
    </row>
    <row r="111" spans="1:1" s="13" customFormat="1" ht="15" customHeight="1" x14ac:dyDescent="0.2">
      <c r="A111" s="117"/>
    </row>
    <row r="112" spans="1:1" s="13" customFormat="1" ht="15" customHeight="1" x14ac:dyDescent="0.2">
      <c r="A112" s="117"/>
    </row>
    <row r="113" spans="1:1" s="13" customFormat="1" ht="15" customHeight="1" x14ac:dyDescent="0.2">
      <c r="A113" s="117"/>
    </row>
    <row r="114" spans="1:1" s="13" customFormat="1" ht="15" customHeight="1" x14ac:dyDescent="0.2">
      <c r="A114" s="117"/>
    </row>
    <row r="115" spans="1:1" s="13" customFormat="1" ht="15" customHeight="1" x14ac:dyDescent="0.2">
      <c r="A115" s="117"/>
    </row>
    <row r="116" spans="1:1" s="13" customFormat="1" ht="15" customHeight="1" x14ac:dyDescent="0.2">
      <c r="A116" s="117"/>
    </row>
    <row r="117" spans="1:1" s="13" customFormat="1" ht="15" customHeight="1" x14ac:dyDescent="0.2">
      <c r="A117" s="117"/>
    </row>
    <row r="118" spans="1:1" s="13" customFormat="1" ht="15" customHeight="1" x14ac:dyDescent="0.2">
      <c r="A118" s="117"/>
    </row>
  </sheetData>
  <customSheetViews>
    <customSheetView guid="{B7440494-8EA9-4463-9947-E5D20E74049D}" showGridLines="0">
      <pane xSplit="1" ySplit="11" topLeftCell="B12" activePane="bottomRight" state="frozen"/>
      <selection pane="bottomRight" activeCell="BP5" sqref="BP5"/>
      <colBreaks count="8" manualBreakCount="8">
        <brk id="9" max="31" man="1"/>
        <brk id="17" max="31" man="1"/>
        <brk id="25" max="31" man="1"/>
        <brk id="33" max="31" man="1"/>
        <brk id="41" max="31" man="1"/>
        <brk id="49" max="31" man="1"/>
        <brk id="56" max="31" man="1"/>
        <brk id="60" max="31" man="1"/>
      </colBreaks>
      <pageMargins left="0" right="0" top="0.78740157480314965" bottom="0" header="0" footer="0"/>
      <printOptions horizontalCentered="1"/>
      <pageSetup paperSize="9" scale="91" orientation="landscape" verticalDpi="597" r:id="rId1"/>
      <headerFooter alignWithMargins="0">
        <oddHeader>&amp;R&amp;P/&amp;N</oddHeader>
      </headerFooter>
    </customSheetView>
    <customSheetView guid="{6D89F6EF-F5AD-478F-979A-5AF1BC78EF91}" showGridLines="0">
      <pane xSplit="2" ySplit="12" topLeftCell="C13" activePane="bottomRight" state="frozen"/>
      <selection pane="bottomRight" activeCell="C13" sqref="C13"/>
      <colBreaks count="6" manualBreakCount="6">
        <brk id="18" max="31" man="1"/>
        <brk id="34" max="31" man="1"/>
        <brk id="50" max="31" man="1"/>
        <brk id="66" max="31" man="1"/>
        <brk id="82" max="31" man="1"/>
        <brk id="98" max="31" man="1"/>
      </colBreaks>
      <pageMargins left="0" right="0" top="1.1811023622047245" bottom="0" header="0" footer="0"/>
      <printOptions horizontalCentered="1"/>
      <pageSetup paperSize="9" scale="90" orientation="landscape" r:id="rId2"/>
      <headerFooter alignWithMargins="0"/>
    </customSheetView>
    <customSheetView guid="{A9134056-6B1C-4A42-AFE9-9712EF3EF3D4}" showPageBreaks="1" showGridLines="0" printArea="1">
      <pane xSplit="2" ySplit="12" topLeftCell="C13" activePane="bottomRight" state="frozen"/>
      <selection pane="bottomRight" activeCell="C13" sqref="C13"/>
      <colBreaks count="7" manualBreakCount="7">
        <brk id="10" max="31" man="1"/>
        <brk id="18" max="31" man="1"/>
        <brk id="34" max="31" man="1"/>
        <brk id="50" max="31" man="1"/>
        <brk id="66" max="31" man="1"/>
        <brk id="82" max="31" man="1"/>
        <brk id="98" max="31" man="1"/>
      </colBreaks>
      <pageMargins left="0" right="0" top="1.1811023622047245" bottom="0" header="0" footer="0"/>
      <printOptions horizontalCentered="1"/>
      <pageSetup paperSize="9" scale="90" orientation="landscape" r:id="rId3"/>
      <headerFooter alignWithMargins="0"/>
    </customSheetView>
  </customSheetViews>
  <mergeCells count="110">
    <mergeCell ref="BT8:BT9"/>
    <mergeCell ref="BQ7:BT7"/>
    <mergeCell ref="BQ8:BQ9"/>
    <mergeCell ref="AR6:AS6"/>
    <mergeCell ref="AT6:AU6"/>
    <mergeCell ref="AV6:AW6"/>
    <mergeCell ref="AX6:AY6"/>
    <mergeCell ref="AZ6:BA6"/>
    <mergeCell ref="BB6:BC6"/>
    <mergeCell ref="BI7:BL7"/>
    <mergeCell ref="AX7:BC7"/>
    <mergeCell ref="BE7:BH7"/>
    <mergeCell ref="BM7:BP7"/>
    <mergeCell ref="BP8:BP9"/>
    <mergeCell ref="BN8:BN9"/>
    <mergeCell ref="BK8:BK9"/>
    <mergeCell ref="BS8:BS9"/>
    <mergeCell ref="BR8:BR9"/>
    <mergeCell ref="BC8:BC9"/>
    <mergeCell ref="BO8:BO9"/>
    <mergeCell ref="BH8:BH9"/>
    <mergeCell ref="BE8:BE9"/>
    <mergeCell ref="BM8:BM9"/>
    <mergeCell ref="BL8:BL9"/>
    <mergeCell ref="AB6:AC6"/>
    <mergeCell ref="AD6:AE6"/>
    <mergeCell ref="AF6:AG6"/>
    <mergeCell ref="AH6:AI6"/>
    <mergeCell ref="AJ6:AK6"/>
    <mergeCell ref="AL6:AM6"/>
    <mergeCell ref="AN6:AO6"/>
    <mergeCell ref="AP6:AQ6"/>
    <mergeCell ref="AP7:AW7"/>
    <mergeCell ref="Z7:AG7"/>
    <mergeCell ref="AH7:AO7"/>
    <mergeCell ref="P6:Q6"/>
    <mergeCell ref="R6:S6"/>
    <mergeCell ref="T6:U6"/>
    <mergeCell ref="V6:W6"/>
    <mergeCell ref="X6:Y6"/>
    <mergeCell ref="Z6:AA6"/>
    <mergeCell ref="B6:C6"/>
    <mergeCell ref="D6:E6"/>
    <mergeCell ref="F6:G6"/>
    <mergeCell ref="H6:I6"/>
    <mergeCell ref="J6:K6"/>
    <mergeCell ref="L6:M6"/>
    <mergeCell ref="N6:O6"/>
    <mergeCell ref="BA8:BA9"/>
    <mergeCell ref="AJ8:AJ9"/>
    <mergeCell ref="AS8:AS9"/>
    <mergeCell ref="AQ8:AQ9"/>
    <mergeCell ref="Q8:Q9"/>
    <mergeCell ref="AP8:AP9"/>
    <mergeCell ref="AT8:AT9"/>
    <mergeCell ref="Z8:Z9"/>
    <mergeCell ref="S8:S9"/>
    <mergeCell ref="AR8:AR9"/>
    <mergeCell ref="X8:X9"/>
    <mergeCell ref="AV8:AV9"/>
    <mergeCell ref="AY8:AY9"/>
    <mergeCell ref="AK8:AK9"/>
    <mergeCell ref="AX8:AX9"/>
    <mergeCell ref="BG8:BG9"/>
    <mergeCell ref="T8:T9"/>
    <mergeCell ref="BJ8:BJ9"/>
    <mergeCell ref="BD8:BD9"/>
    <mergeCell ref="AI8:AI9"/>
    <mergeCell ref="BI8:BI9"/>
    <mergeCell ref="AZ8:AZ9"/>
    <mergeCell ref="BF8:BF9"/>
    <mergeCell ref="AN8:AN9"/>
    <mergeCell ref="AW8:AW9"/>
    <mergeCell ref="AA8:AA9"/>
    <mergeCell ref="AO8:AO9"/>
    <mergeCell ref="AC8:AC9"/>
    <mergeCell ref="AB8:AB9"/>
    <mergeCell ref="AH8:AH9"/>
    <mergeCell ref="U8:U9"/>
    <mergeCell ref="W8:W9"/>
    <mergeCell ref="AU8:AU9"/>
    <mergeCell ref="V8:V9"/>
    <mergeCell ref="Y8:Y9"/>
    <mergeCell ref="AL8:AL9"/>
    <mergeCell ref="AM8:AM9"/>
    <mergeCell ref="AF8:AF9"/>
    <mergeCell ref="BB8:BB9"/>
    <mergeCell ref="N7:Q7"/>
    <mergeCell ref="AD8:AD9"/>
    <mergeCell ref="AG8:AG9"/>
    <mergeCell ref="AE8:AE9"/>
    <mergeCell ref="B8:B9"/>
    <mergeCell ref="G8:G9"/>
    <mergeCell ref="I8:I9"/>
    <mergeCell ref="K8:K9"/>
    <mergeCell ref="J7:M7"/>
    <mergeCell ref="B7:I7"/>
    <mergeCell ref="H8:H9"/>
    <mergeCell ref="M8:M9"/>
    <mergeCell ref="E8:E9"/>
    <mergeCell ref="J8:J9"/>
    <mergeCell ref="L8:L9"/>
    <mergeCell ref="F8:F9"/>
    <mergeCell ref="C8:C9"/>
    <mergeCell ref="D8:D9"/>
    <mergeCell ref="R7:Y7"/>
    <mergeCell ref="N8:N9"/>
    <mergeCell ref="R8:R9"/>
    <mergeCell ref="O8:O9"/>
    <mergeCell ref="P8:P9"/>
  </mergeCells>
  <hyperlinks>
    <hyperlink ref="BT5" location="Índex!E9" display="Índex"/>
  </hyperlinks>
  <printOptions horizontalCentered="1"/>
  <pageMargins left="0" right="0" top="0.39370078740157483" bottom="0" header="0" footer="0"/>
  <pageSetup paperSize="9" scale="90" orientation="landscape" r:id="rId4"/>
  <headerFooter alignWithMargins="0">
    <oddHeader>&amp;R&amp;P/&amp;N</oddHeader>
  </headerFooter>
  <colBreaks count="10" manualBreakCount="10">
    <brk id="9" max="25" man="1"/>
    <brk id="17" max="25" man="1"/>
    <brk id="25" max="25" man="1"/>
    <brk id="33" max="25" man="1"/>
    <brk id="41" max="25" man="1"/>
    <brk id="49" max="25" man="1"/>
    <brk id="56" max="25" man="1"/>
    <brk id="64" max="25" man="1"/>
    <brk id="81" max="31" man="1"/>
    <brk id="97" max="31" man="1"/>
  </colBreaks>
  <drawing r:id="rId5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36"/>
  <dimension ref="A1:DQ152"/>
  <sheetViews>
    <sheetView showGridLines="0" zoomScaleNormal="100" workbookViewId="0">
      <pane xSplit="1" ySplit="8" topLeftCell="AI9" activePane="bottomRight" state="frozen"/>
      <selection activeCell="E9" sqref="E9"/>
      <selection pane="topRight" activeCell="E9" sqref="E9"/>
      <selection pane="bottomLeft" activeCell="E9" sqref="E9"/>
      <selection pane="bottomRight" activeCell="AS6" sqref="AS6"/>
    </sheetView>
  </sheetViews>
  <sheetFormatPr defaultColWidth="10.28515625" defaultRowHeight="12" x14ac:dyDescent="0.2"/>
  <cols>
    <col min="1" max="1" width="73.7109375" style="1" customWidth="1"/>
    <col min="2" max="39" width="10.7109375" style="1" customWidth="1"/>
    <col min="40" max="16384" width="10.28515625" style="1"/>
  </cols>
  <sheetData>
    <row r="1" spans="1:93" s="25" customFormat="1" ht="15" customHeight="1" x14ac:dyDescent="0.2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2"/>
      <c r="AW1" s="62"/>
      <c r="AX1" s="62"/>
      <c r="AY1" s="62"/>
      <c r="AZ1" s="62"/>
      <c r="BA1" s="62"/>
      <c r="BB1" s="62"/>
      <c r="BC1" s="62"/>
      <c r="BD1" s="62"/>
      <c r="BE1" s="62"/>
      <c r="BF1" s="62"/>
      <c r="BG1" s="62"/>
      <c r="BH1" s="62"/>
      <c r="BI1" s="62"/>
      <c r="BJ1" s="56"/>
      <c r="BK1" s="56"/>
      <c r="BL1" s="56"/>
      <c r="BM1" s="56"/>
      <c r="BN1" s="56"/>
      <c r="BO1" s="56"/>
      <c r="BP1" s="56"/>
      <c r="BQ1" s="56"/>
      <c r="BR1" s="56"/>
      <c r="BS1" s="56"/>
      <c r="BT1" s="56"/>
      <c r="BU1" s="56"/>
    </row>
    <row r="2" spans="1:93" s="25" customFormat="1" ht="15" customHeight="1" x14ac:dyDescent="0.25">
      <c r="A2" s="56"/>
      <c r="B2" s="199"/>
      <c r="C2" s="56"/>
      <c r="D2" s="56"/>
      <c r="E2" s="216"/>
      <c r="F2" s="216"/>
      <c r="G2" s="216"/>
      <c r="H2" s="56"/>
      <c r="I2" s="56"/>
      <c r="J2" s="56"/>
      <c r="K2" s="21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  <c r="BM2" s="56"/>
      <c r="BN2" s="56"/>
      <c r="BO2" s="56"/>
      <c r="BP2" s="56"/>
      <c r="BQ2" s="56"/>
      <c r="BR2" s="56"/>
      <c r="BS2" s="56"/>
      <c r="BT2" s="56"/>
      <c r="BU2" s="56"/>
    </row>
    <row r="3" spans="1:93" s="25" customFormat="1" ht="15" customHeight="1" x14ac:dyDescent="0.25">
      <c r="A3" s="57"/>
      <c r="B3" s="57"/>
      <c r="C3" s="61"/>
      <c r="D3" s="57"/>
      <c r="E3" s="217"/>
      <c r="F3" s="217"/>
      <c r="G3" s="217"/>
      <c r="H3" s="57"/>
      <c r="I3" s="57"/>
      <c r="J3" s="57"/>
      <c r="K3" s="21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7"/>
      <c r="BT3" s="57"/>
      <c r="BU3" s="57"/>
    </row>
    <row r="4" spans="1:93" s="25" customFormat="1" ht="15" customHeight="1" x14ac:dyDescent="0.2">
      <c r="A4" s="58"/>
      <c r="B4" s="58"/>
      <c r="C4" s="58"/>
      <c r="D4" s="58"/>
      <c r="E4" s="218"/>
      <c r="F4" s="218"/>
      <c r="G4" s="218"/>
      <c r="H4" s="58"/>
      <c r="I4" s="58"/>
      <c r="J4" s="58"/>
      <c r="K4" s="21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  <c r="CG4" s="198"/>
      <c r="CH4" s="198"/>
      <c r="CI4" s="198"/>
      <c r="CJ4" s="198"/>
      <c r="CK4" s="198"/>
      <c r="CL4" s="198"/>
      <c r="CM4" s="198"/>
      <c r="CN4" s="198"/>
      <c r="CO4" s="198"/>
    </row>
    <row r="5" spans="1:93" s="25" customFormat="1" ht="19.5" thickBot="1" x14ac:dyDescent="0.35">
      <c r="A5" s="190" t="s">
        <v>158</v>
      </c>
      <c r="B5" s="61"/>
      <c r="C5" s="59"/>
      <c r="D5" s="61"/>
      <c r="E5" s="59"/>
      <c r="F5" s="114"/>
      <c r="G5" s="59"/>
      <c r="H5" s="112"/>
      <c r="I5" s="59"/>
      <c r="J5" s="59"/>
      <c r="K5" s="59"/>
      <c r="L5" s="59"/>
      <c r="M5" s="59"/>
      <c r="N5" s="59"/>
      <c r="O5" s="59"/>
      <c r="P5" s="59"/>
      <c r="Q5" s="59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59"/>
      <c r="BR5" s="59"/>
      <c r="BS5" s="59"/>
      <c r="BT5" s="59"/>
      <c r="BU5" s="59"/>
      <c r="BW5" s="114"/>
      <c r="CA5" s="114"/>
      <c r="CC5" s="134"/>
      <c r="CF5" s="65"/>
      <c r="CG5" s="194"/>
      <c r="CH5" s="194"/>
      <c r="CI5" s="194"/>
      <c r="CJ5" s="225"/>
      <c r="CK5" s="194"/>
      <c r="CL5" s="194"/>
      <c r="CM5" s="194"/>
      <c r="CN5" s="194"/>
      <c r="CO5" s="198"/>
    </row>
    <row r="6" spans="1:93" s="236" customFormat="1" ht="15" customHeight="1" thickTop="1" x14ac:dyDescent="0.2">
      <c r="A6" s="234"/>
      <c r="B6" s="234"/>
      <c r="C6" s="235"/>
      <c r="D6" s="235"/>
      <c r="E6" s="235"/>
      <c r="AL6" s="133"/>
      <c r="AN6" s="133"/>
      <c r="AO6" s="133"/>
      <c r="AP6" s="400"/>
      <c r="AQ6" s="400"/>
      <c r="AR6" s="400"/>
      <c r="AS6" s="400" t="s">
        <v>662</v>
      </c>
    </row>
    <row r="7" spans="1:93" s="183" customFormat="1" ht="15" customHeight="1" x14ac:dyDescent="0.2">
      <c r="A7" s="182"/>
      <c r="B7" s="195" t="s">
        <v>35</v>
      </c>
      <c r="C7" s="195" t="s">
        <v>36</v>
      </c>
      <c r="D7" s="195" t="s">
        <v>321</v>
      </c>
      <c r="E7" s="195" t="s">
        <v>331</v>
      </c>
      <c r="F7" s="195" t="s">
        <v>37</v>
      </c>
      <c r="G7" s="195" t="s">
        <v>38</v>
      </c>
      <c r="H7" s="195" t="s">
        <v>322</v>
      </c>
      <c r="I7" s="195" t="s">
        <v>332</v>
      </c>
      <c r="J7" s="195" t="s">
        <v>39</v>
      </c>
      <c r="K7" s="195" t="s">
        <v>40</v>
      </c>
      <c r="L7" s="195" t="s">
        <v>323</v>
      </c>
      <c r="M7" s="195" t="s">
        <v>333</v>
      </c>
      <c r="N7" s="195" t="s">
        <v>41</v>
      </c>
      <c r="O7" s="195" t="s">
        <v>42</v>
      </c>
      <c r="P7" s="195" t="s">
        <v>324</v>
      </c>
      <c r="Q7" s="195" t="s">
        <v>334</v>
      </c>
      <c r="R7" s="195" t="s">
        <v>43</v>
      </c>
      <c r="S7" s="195" t="s">
        <v>44</v>
      </c>
      <c r="T7" s="195" t="s">
        <v>325</v>
      </c>
      <c r="U7" s="195" t="s">
        <v>335</v>
      </c>
      <c r="V7" s="195" t="s">
        <v>45</v>
      </c>
      <c r="W7" s="195" t="s">
        <v>46</v>
      </c>
      <c r="X7" s="195" t="s">
        <v>326</v>
      </c>
      <c r="Y7" s="195" t="s">
        <v>336</v>
      </c>
      <c r="Z7" s="195" t="s">
        <v>47</v>
      </c>
      <c r="AA7" s="195" t="s">
        <v>48</v>
      </c>
      <c r="AB7" s="195" t="s">
        <v>327</v>
      </c>
      <c r="AC7" s="195" t="s">
        <v>337</v>
      </c>
      <c r="AD7" s="195" t="s">
        <v>49</v>
      </c>
      <c r="AE7" s="195" t="s">
        <v>50</v>
      </c>
      <c r="AF7" s="195" t="s">
        <v>328</v>
      </c>
      <c r="AG7" s="195" t="s">
        <v>338</v>
      </c>
      <c r="AH7" s="195" t="s">
        <v>51</v>
      </c>
      <c r="AI7" s="195" t="s">
        <v>52</v>
      </c>
      <c r="AJ7" s="195" t="s">
        <v>329</v>
      </c>
      <c r="AK7" s="195" t="s">
        <v>339</v>
      </c>
      <c r="AL7" s="195" t="s">
        <v>53</v>
      </c>
      <c r="AM7" s="195" t="s">
        <v>54</v>
      </c>
      <c r="AN7" s="195" t="s">
        <v>330</v>
      </c>
      <c r="AO7" s="413" t="s">
        <v>340</v>
      </c>
      <c r="AP7" s="413" t="s">
        <v>71</v>
      </c>
      <c r="AQ7" s="558" t="s">
        <v>374</v>
      </c>
      <c r="AR7" s="664" t="s">
        <v>376</v>
      </c>
      <c r="AS7" s="664" t="s">
        <v>399</v>
      </c>
      <c r="CC7" s="243"/>
    </row>
    <row r="8" spans="1:93" s="178" customFormat="1" ht="9.9499999999999993" customHeight="1" x14ac:dyDescent="0.2">
      <c r="A8" s="233"/>
      <c r="B8" s="233"/>
      <c r="C8" s="233"/>
      <c r="D8" s="233"/>
      <c r="E8" s="233"/>
      <c r="F8" s="233"/>
      <c r="G8" s="233"/>
      <c r="H8" s="233"/>
      <c r="I8" s="233"/>
      <c r="J8" s="233"/>
      <c r="K8" s="233"/>
      <c r="L8" s="233"/>
      <c r="M8" s="233"/>
      <c r="N8" s="233"/>
      <c r="O8" s="233"/>
      <c r="P8" s="233"/>
      <c r="Q8" s="233"/>
      <c r="R8" s="233"/>
      <c r="S8" s="233"/>
      <c r="T8" s="233"/>
      <c r="U8" s="233"/>
      <c r="V8" s="233"/>
      <c r="W8" s="233"/>
      <c r="X8" s="233"/>
      <c r="Y8" s="233"/>
      <c r="Z8" s="233"/>
      <c r="AA8" s="233"/>
      <c r="AB8" s="233"/>
      <c r="AC8" s="233"/>
      <c r="AD8" s="233"/>
      <c r="AE8" s="233"/>
      <c r="AF8" s="233"/>
      <c r="AG8" s="233"/>
      <c r="AH8" s="233"/>
      <c r="AI8" s="233"/>
      <c r="AJ8" s="233"/>
      <c r="AK8" s="233"/>
      <c r="AL8" s="233"/>
      <c r="AM8" s="233"/>
      <c r="AN8" s="233"/>
      <c r="AO8" s="233"/>
      <c r="AP8" s="233"/>
      <c r="AQ8" s="233"/>
      <c r="AR8" s="233"/>
      <c r="AS8" s="233"/>
      <c r="AT8" s="191"/>
      <c r="AU8" s="191"/>
      <c r="AV8" s="191"/>
      <c r="AW8" s="191"/>
      <c r="AX8" s="191"/>
      <c r="AY8" s="191"/>
      <c r="AZ8" s="191"/>
      <c r="BA8" s="191"/>
      <c r="BB8" s="191"/>
      <c r="BC8" s="191"/>
      <c r="BD8" s="191"/>
      <c r="BE8" s="191"/>
      <c r="BF8" s="191"/>
      <c r="BG8" s="191"/>
      <c r="BH8" s="191"/>
      <c r="BI8" s="191"/>
      <c r="BJ8" s="191"/>
      <c r="BK8" s="191"/>
      <c r="BL8" s="191"/>
      <c r="BM8" s="191"/>
      <c r="BN8" s="191"/>
      <c r="BO8" s="191"/>
      <c r="BP8" s="191"/>
      <c r="BQ8" s="191"/>
      <c r="BR8" s="191"/>
      <c r="BS8" s="191"/>
      <c r="BT8" s="191"/>
      <c r="BU8" s="191"/>
      <c r="BV8" s="191"/>
      <c r="BW8" s="191"/>
      <c r="BX8" s="191"/>
      <c r="BY8" s="191"/>
      <c r="BZ8" s="191"/>
      <c r="CA8" s="191"/>
      <c r="CB8" s="191"/>
      <c r="CC8" s="191"/>
      <c r="CD8" s="191"/>
    </row>
    <row r="9" spans="1:93" s="178" customFormat="1" ht="5.0999999999999996" customHeight="1" x14ac:dyDescent="0.2">
      <c r="A9" s="248"/>
      <c r="B9" s="203"/>
      <c r="C9" s="203"/>
      <c r="D9" s="203"/>
      <c r="E9" s="203"/>
      <c r="F9" s="203"/>
      <c r="G9" s="203"/>
      <c r="H9" s="203"/>
      <c r="I9" s="203"/>
      <c r="J9" s="203"/>
      <c r="K9" s="203"/>
      <c r="L9" s="203"/>
      <c r="M9" s="203"/>
      <c r="N9" s="203"/>
      <c r="O9" s="203"/>
      <c r="P9" s="203"/>
      <c r="Q9" s="203"/>
      <c r="R9" s="203"/>
      <c r="S9" s="203"/>
      <c r="T9" s="203"/>
      <c r="U9" s="203"/>
      <c r="V9" s="203"/>
      <c r="W9" s="203"/>
      <c r="X9" s="203"/>
      <c r="Y9" s="203"/>
      <c r="Z9" s="203"/>
      <c r="AA9" s="203"/>
      <c r="AB9" s="203"/>
      <c r="AC9" s="203"/>
      <c r="AD9" s="203"/>
      <c r="AE9" s="203"/>
      <c r="AF9" s="203"/>
      <c r="AG9" s="203"/>
      <c r="AH9" s="203"/>
      <c r="AI9" s="203"/>
      <c r="AJ9" s="203"/>
      <c r="AK9" s="203"/>
      <c r="AL9" s="203"/>
      <c r="AM9" s="203"/>
      <c r="AN9" s="203"/>
      <c r="AO9" s="203"/>
      <c r="AP9" s="203"/>
      <c r="AQ9" s="203"/>
      <c r="AR9" s="203"/>
      <c r="AS9" s="203"/>
      <c r="AT9" s="203"/>
      <c r="AU9" s="203"/>
      <c r="AV9" s="203"/>
      <c r="AW9" s="203"/>
      <c r="AX9" s="203"/>
      <c r="AY9" s="203"/>
      <c r="AZ9" s="203"/>
      <c r="BA9" s="203"/>
      <c r="BB9" s="203"/>
      <c r="BC9" s="203"/>
      <c r="BD9" s="203"/>
      <c r="BE9" s="203"/>
      <c r="BF9" s="203"/>
      <c r="BG9" s="203"/>
      <c r="BH9" s="203"/>
      <c r="BI9" s="203"/>
      <c r="BJ9" s="203"/>
      <c r="BK9" s="203"/>
      <c r="BL9" s="203"/>
      <c r="BM9" s="203"/>
      <c r="BN9" s="203"/>
      <c r="BO9" s="203"/>
      <c r="BP9" s="203"/>
      <c r="BQ9" s="203"/>
      <c r="BR9" s="203"/>
      <c r="BS9" s="203"/>
      <c r="BT9" s="203"/>
      <c r="BU9" s="203"/>
      <c r="BV9" s="203"/>
      <c r="BW9" s="203"/>
      <c r="BX9" s="203"/>
      <c r="BY9" s="203"/>
      <c r="BZ9" s="203"/>
      <c r="CA9" s="203"/>
      <c r="CB9" s="203"/>
      <c r="CC9" s="203"/>
      <c r="CD9" s="203"/>
    </row>
    <row r="10" spans="1:93" s="291" customFormat="1" x14ac:dyDescent="0.2">
      <c r="A10" s="289" t="s">
        <v>659</v>
      </c>
      <c r="B10" s="290">
        <f>SUM(B11:B12)</f>
        <v>101473</v>
      </c>
      <c r="C10" s="290">
        <f>SUM(C11:C12)</f>
        <v>108191</v>
      </c>
      <c r="D10" s="290">
        <f>SUM(D11:D12)</f>
        <v>116357</v>
      </c>
      <c r="E10" s="290">
        <f>SUM(E11:E12)</f>
        <v>131307</v>
      </c>
      <c r="F10" s="290">
        <f t="shared" ref="F10:AI10" si="0">SUM(F11:F12)</f>
        <v>139019</v>
      </c>
      <c r="G10" s="290">
        <f t="shared" si="0"/>
        <v>154017</v>
      </c>
      <c r="H10" s="290">
        <f t="shared" si="0"/>
        <v>166406</v>
      </c>
      <c r="I10" s="290">
        <f t="shared" si="0"/>
        <v>179955</v>
      </c>
      <c r="J10" s="290">
        <f t="shared" si="0"/>
        <v>180048</v>
      </c>
      <c r="K10" s="290">
        <f t="shared" si="0"/>
        <v>179377</v>
      </c>
      <c r="L10" s="290">
        <f t="shared" si="0"/>
        <v>180969</v>
      </c>
      <c r="M10" s="290">
        <f t="shared" si="0"/>
        <v>190989</v>
      </c>
      <c r="N10" s="290">
        <f t="shared" si="0"/>
        <v>198107</v>
      </c>
      <c r="O10" s="290">
        <f t="shared" si="0"/>
        <v>208588</v>
      </c>
      <c r="P10" s="290">
        <f t="shared" si="0"/>
        <v>217274</v>
      </c>
      <c r="Q10" s="290">
        <f t="shared" si="0"/>
        <v>230614</v>
      </c>
      <c r="R10" s="290">
        <f t="shared" si="0"/>
        <v>239912</v>
      </c>
      <c r="S10" s="290">
        <f t="shared" si="0"/>
        <v>250834</v>
      </c>
      <c r="T10" s="290">
        <f t="shared" si="0"/>
        <v>260471</v>
      </c>
      <c r="U10" s="290">
        <f t="shared" si="0"/>
        <v>268668</v>
      </c>
      <c r="V10" s="290">
        <f t="shared" si="0"/>
        <v>269748</v>
      </c>
      <c r="W10" s="290">
        <f t="shared" si="0"/>
        <v>279167</v>
      </c>
      <c r="X10" s="290">
        <f t="shared" si="0"/>
        <v>284366</v>
      </c>
      <c r="Y10" s="290">
        <f t="shared" si="0"/>
        <v>290960</v>
      </c>
      <c r="Z10" s="290">
        <f t="shared" si="0"/>
        <v>297883</v>
      </c>
      <c r="AA10" s="290">
        <f t="shared" si="0"/>
        <v>305573</v>
      </c>
      <c r="AB10" s="290">
        <f t="shared" si="0"/>
        <v>311655</v>
      </c>
      <c r="AC10" s="290">
        <f t="shared" si="0"/>
        <v>323061</v>
      </c>
      <c r="AD10" s="290">
        <f t="shared" si="0"/>
        <v>328257</v>
      </c>
      <c r="AE10" s="290">
        <f t="shared" si="0"/>
        <v>328668</v>
      </c>
      <c r="AF10" s="290">
        <f t="shared" si="0"/>
        <v>335904</v>
      </c>
      <c r="AG10" s="290">
        <f t="shared" si="0"/>
        <v>346644</v>
      </c>
      <c r="AH10" s="290">
        <f t="shared" si="0"/>
        <v>352424</v>
      </c>
      <c r="AI10" s="290">
        <f t="shared" si="0"/>
        <v>355024</v>
      </c>
      <c r="AJ10" s="290">
        <f>SUM(AJ11:AJ12)</f>
        <v>366055</v>
      </c>
      <c r="AK10" s="290">
        <f>SUM(AK11:AK12)+1</f>
        <v>366995</v>
      </c>
      <c r="AL10" s="290">
        <f t="shared" ref="AL10:AQ10" si="1">SUM(AL11:AL12)</f>
        <v>353723</v>
      </c>
      <c r="AM10" s="290">
        <f t="shared" si="1"/>
        <v>341821</v>
      </c>
      <c r="AN10" s="290">
        <f t="shared" si="1"/>
        <v>399409</v>
      </c>
      <c r="AO10" s="290">
        <f t="shared" si="1"/>
        <v>392150.73494931532</v>
      </c>
      <c r="AP10" s="290">
        <v>381950</v>
      </c>
      <c r="AQ10" s="290">
        <f t="shared" si="1"/>
        <v>375653.13393570989</v>
      </c>
      <c r="AR10" s="290">
        <f t="shared" ref="AR10:AS10" si="2">SUM(AR11:AR12)</f>
        <v>368899</v>
      </c>
      <c r="AS10" s="424">
        <f t="shared" si="2"/>
        <v>370079</v>
      </c>
    </row>
    <row r="11" spans="1:93" s="242" customFormat="1" x14ac:dyDescent="0.2">
      <c r="A11" s="272" t="s">
        <v>159</v>
      </c>
      <c r="B11" s="292">
        <v>41628</v>
      </c>
      <c r="C11" s="292">
        <v>44694</v>
      </c>
      <c r="D11" s="292">
        <v>49285</v>
      </c>
      <c r="E11" s="292">
        <v>53474</v>
      </c>
      <c r="F11" s="292">
        <v>56969</v>
      </c>
      <c r="G11" s="292">
        <v>64888</v>
      </c>
      <c r="H11" s="292">
        <v>68788</v>
      </c>
      <c r="I11" s="292">
        <v>72603</v>
      </c>
      <c r="J11" s="292">
        <v>72507</v>
      </c>
      <c r="K11" s="292">
        <v>73193</v>
      </c>
      <c r="L11" s="292">
        <v>74228</v>
      </c>
      <c r="M11" s="292">
        <v>80922</v>
      </c>
      <c r="N11" s="292">
        <v>84729</v>
      </c>
      <c r="O11" s="292">
        <v>88322</v>
      </c>
      <c r="P11" s="292">
        <v>91654</v>
      </c>
      <c r="Q11" s="292">
        <v>96884</v>
      </c>
      <c r="R11" s="292">
        <v>98738</v>
      </c>
      <c r="S11" s="292">
        <v>101462</v>
      </c>
      <c r="T11" s="292">
        <v>103901</v>
      </c>
      <c r="U11" s="292">
        <v>106972</v>
      </c>
      <c r="V11" s="292">
        <v>108321</v>
      </c>
      <c r="W11" s="292">
        <v>110952</v>
      </c>
      <c r="X11" s="292">
        <v>113308</v>
      </c>
      <c r="Y11" s="292">
        <v>116404</v>
      </c>
      <c r="Z11" s="292">
        <v>118263</v>
      </c>
      <c r="AA11" s="292">
        <v>122571</v>
      </c>
      <c r="AB11" s="292">
        <v>126116</v>
      </c>
      <c r="AC11" s="292">
        <v>129680</v>
      </c>
      <c r="AD11" s="292">
        <v>131553</v>
      </c>
      <c r="AE11" s="292">
        <v>133959</v>
      </c>
      <c r="AF11" s="292">
        <v>136946</v>
      </c>
      <c r="AG11" s="292">
        <v>140309</v>
      </c>
      <c r="AH11" s="292">
        <v>140859</v>
      </c>
      <c r="AI11" s="292">
        <v>142232</v>
      </c>
      <c r="AJ11" s="292">
        <v>143941</v>
      </c>
      <c r="AK11" s="292">
        <v>146540</v>
      </c>
      <c r="AL11" s="292">
        <v>146658</v>
      </c>
      <c r="AM11" s="292">
        <v>147911</v>
      </c>
      <c r="AN11" s="292">
        <v>169571</v>
      </c>
      <c r="AO11" s="292">
        <v>170994.265872249</v>
      </c>
      <c r="AP11" s="292">
        <v>170726</v>
      </c>
      <c r="AQ11" s="292">
        <v>170876.44648365615</v>
      </c>
      <c r="AR11" s="292">
        <v>171008</v>
      </c>
      <c r="AS11" s="425">
        <v>174537</v>
      </c>
    </row>
    <row r="12" spans="1:93" s="242" customFormat="1" x14ac:dyDescent="0.2">
      <c r="A12" s="460" t="s">
        <v>160</v>
      </c>
      <c r="B12" s="586">
        <v>59845</v>
      </c>
      <c r="C12" s="586">
        <v>63497</v>
      </c>
      <c r="D12" s="586">
        <v>67072</v>
      </c>
      <c r="E12" s="586">
        <v>77833</v>
      </c>
      <c r="F12" s="586">
        <v>82050</v>
      </c>
      <c r="G12" s="586">
        <v>89129</v>
      </c>
      <c r="H12" s="586">
        <v>97618</v>
      </c>
      <c r="I12" s="586">
        <v>107352</v>
      </c>
      <c r="J12" s="586">
        <v>107541</v>
      </c>
      <c r="K12" s="586">
        <v>106184</v>
      </c>
      <c r="L12" s="586">
        <v>106741</v>
      </c>
      <c r="M12" s="586">
        <v>110067</v>
      </c>
      <c r="N12" s="586">
        <v>113378</v>
      </c>
      <c r="O12" s="586">
        <v>120266</v>
      </c>
      <c r="P12" s="586">
        <v>125620</v>
      </c>
      <c r="Q12" s="586">
        <v>133730</v>
      </c>
      <c r="R12" s="586">
        <v>141174</v>
      </c>
      <c r="S12" s="586">
        <v>149372</v>
      </c>
      <c r="T12" s="586">
        <v>156570</v>
      </c>
      <c r="U12" s="586">
        <v>161696</v>
      </c>
      <c r="V12" s="586">
        <v>161427</v>
      </c>
      <c r="W12" s="586">
        <v>168215</v>
      </c>
      <c r="X12" s="586">
        <v>171058</v>
      </c>
      <c r="Y12" s="586">
        <v>174556</v>
      </c>
      <c r="Z12" s="586">
        <v>179620</v>
      </c>
      <c r="AA12" s="586">
        <v>183002</v>
      </c>
      <c r="AB12" s="586">
        <v>185539</v>
      </c>
      <c r="AC12" s="586">
        <v>193381</v>
      </c>
      <c r="AD12" s="586">
        <v>196704</v>
      </c>
      <c r="AE12" s="586">
        <v>194709</v>
      </c>
      <c r="AF12" s="586">
        <v>198958</v>
      </c>
      <c r="AG12" s="586">
        <v>206335</v>
      </c>
      <c r="AH12" s="586">
        <v>211565</v>
      </c>
      <c r="AI12" s="586">
        <v>212792</v>
      </c>
      <c r="AJ12" s="586">
        <v>222114</v>
      </c>
      <c r="AK12" s="586">
        <v>220454</v>
      </c>
      <c r="AL12" s="586">
        <v>207065</v>
      </c>
      <c r="AM12" s="586">
        <v>193910</v>
      </c>
      <c r="AN12" s="586">
        <v>229838</v>
      </c>
      <c r="AO12" s="586">
        <v>221156.46907706631</v>
      </c>
      <c r="AP12" s="586">
        <v>211225</v>
      </c>
      <c r="AQ12" s="586">
        <v>204776.68745205374</v>
      </c>
      <c r="AR12" s="586">
        <v>197891</v>
      </c>
      <c r="AS12" s="587">
        <v>195542</v>
      </c>
    </row>
    <row r="13" spans="1:93" s="291" customFormat="1" x14ac:dyDescent="0.2">
      <c r="A13" s="289" t="s">
        <v>161</v>
      </c>
      <c r="B13" s="290">
        <f>SUM(B14:B16)</f>
        <v>6775</v>
      </c>
      <c r="C13" s="290">
        <f>SUM(C14:C16)</f>
        <v>7033</v>
      </c>
      <c r="D13" s="290">
        <f>SUM(D14:D16)</f>
        <v>7428</v>
      </c>
      <c r="E13" s="290">
        <f>SUM(E14:E16)</f>
        <v>7826</v>
      </c>
      <c r="F13" s="290">
        <f t="shared" ref="F13:AI13" si="3">SUM(F14:F16)</f>
        <v>8104</v>
      </c>
      <c r="G13" s="290">
        <f t="shared" si="3"/>
        <v>8652</v>
      </c>
      <c r="H13" s="290">
        <f t="shared" si="3"/>
        <v>9136</v>
      </c>
      <c r="I13" s="290">
        <f t="shared" si="3"/>
        <v>10263</v>
      </c>
      <c r="J13" s="290">
        <f t="shared" si="3"/>
        <v>11424</v>
      </c>
      <c r="K13" s="290">
        <f t="shared" si="3"/>
        <v>13871</v>
      </c>
      <c r="L13" s="290">
        <f t="shared" si="3"/>
        <v>14953</v>
      </c>
      <c r="M13" s="290">
        <f t="shared" si="3"/>
        <v>16313</v>
      </c>
      <c r="N13" s="290">
        <f t="shared" si="3"/>
        <v>15836</v>
      </c>
      <c r="O13" s="290">
        <f t="shared" si="3"/>
        <v>15782</v>
      </c>
      <c r="P13" s="290">
        <f t="shared" si="3"/>
        <v>16019</v>
      </c>
      <c r="Q13" s="290">
        <f t="shared" si="3"/>
        <v>16290</v>
      </c>
      <c r="R13" s="290">
        <f t="shared" si="3"/>
        <v>16740</v>
      </c>
      <c r="S13" s="290">
        <f t="shared" si="3"/>
        <v>17364</v>
      </c>
      <c r="T13" s="290">
        <f t="shared" si="3"/>
        <v>19091</v>
      </c>
      <c r="U13" s="290">
        <f t="shared" si="3"/>
        <v>19540</v>
      </c>
      <c r="V13" s="290">
        <f t="shared" si="3"/>
        <v>20118</v>
      </c>
      <c r="W13" s="290">
        <f t="shared" si="3"/>
        <v>20681</v>
      </c>
      <c r="X13" s="290">
        <f t="shared" si="3"/>
        <v>20915</v>
      </c>
      <c r="Y13" s="290">
        <f t="shared" si="3"/>
        <v>21298</v>
      </c>
      <c r="Z13" s="290">
        <f t="shared" si="3"/>
        <v>21358</v>
      </c>
      <c r="AA13" s="290">
        <f t="shared" si="3"/>
        <v>21455</v>
      </c>
      <c r="AB13" s="290">
        <f t="shared" si="3"/>
        <v>21477</v>
      </c>
      <c r="AC13" s="290">
        <f t="shared" si="3"/>
        <v>21687</v>
      </c>
      <c r="AD13" s="290">
        <f t="shared" si="3"/>
        <v>21407</v>
      </c>
      <c r="AE13" s="290">
        <f t="shared" si="3"/>
        <v>21791</v>
      </c>
      <c r="AF13" s="290">
        <f t="shared" si="3"/>
        <v>22623</v>
      </c>
      <c r="AG13" s="290">
        <f t="shared" si="3"/>
        <v>23146</v>
      </c>
      <c r="AH13" s="290">
        <f t="shared" si="3"/>
        <v>23618</v>
      </c>
      <c r="AI13" s="290">
        <f t="shared" si="3"/>
        <v>23801</v>
      </c>
      <c r="AJ13" s="290">
        <v>28670</v>
      </c>
      <c r="AK13" s="290">
        <f>SUM(AK14:AK16)</f>
        <v>29499</v>
      </c>
      <c r="AL13" s="290">
        <f>SUM(AL14:AL16)</f>
        <v>30497</v>
      </c>
      <c r="AM13" s="290">
        <v>31875</v>
      </c>
      <c r="AN13" s="290">
        <v>40416</v>
      </c>
      <c r="AO13" s="290">
        <f>SUM(AO14:AO16)</f>
        <v>40713.936989771028</v>
      </c>
      <c r="AP13" s="290">
        <f>SUM(AP14:AP16)</f>
        <v>39180.663685587911</v>
      </c>
      <c r="AQ13" s="290">
        <f>SUM(AQ14:AQ16)</f>
        <v>37535.963459334431</v>
      </c>
      <c r="AR13" s="290">
        <f>SUM(AR14:AR16)</f>
        <v>36556.712333651252</v>
      </c>
      <c r="AS13" s="424">
        <f>SUM(AS14:AS16)</f>
        <v>36527</v>
      </c>
    </row>
    <row r="14" spans="1:93" s="242" customFormat="1" x14ac:dyDescent="0.2">
      <c r="A14" s="272" t="s">
        <v>162</v>
      </c>
      <c r="B14" s="292">
        <v>3772</v>
      </c>
      <c r="C14" s="292">
        <v>3856</v>
      </c>
      <c r="D14" s="292">
        <v>4196</v>
      </c>
      <c r="E14" s="292">
        <v>4413</v>
      </c>
      <c r="F14" s="292">
        <v>4598</v>
      </c>
      <c r="G14" s="292">
        <v>4807</v>
      </c>
      <c r="H14" s="292">
        <v>5274</v>
      </c>
      <c r="I14" s="292">
        <v>5928</v>
      </c>
      <c r="J14" s="292">
        <v>6794</v>
      </c>
      <c r="K14" s="292">
        <v>7480</v>
      </c>
      <c r="L14" s="292">
        <v>8422</v>
      </c>
      <c r="M14" s="292">
        <v>8886</v>
      </c>
      <c r="N14" s="292">
        <v>8230</v>
      </c>
      <c r="O14" s="292">
        <v>7885</v>
      </c>
      <c r="P14" s="292">
        <v>7895</v>
      </c>
      <c r="Q14" s="292">
        <v>7898</v>
      </c>
      <c r="R14" s="292">
        <v>8298</v>
      </c>
      <c r="S14" s="292">
        <v>8669</v>
      </c>
      <c r="T14" s="292">
        <v>9173</v>
      </c>
      <c r="U14" s="292">
        <v>9875</v>
      </c>
      <c r="V14" s="292">
        <v>10576</v>
      </c>
      <c r="W14" s="292">
        <v>10809</v>
      </c>
      <c r="X14" s="292">
        <v>10897</v>
      </c>
      <c r="Y14" s="292">
        <v>11182</v>
      </c>
      <c r="Z14" s="292">
        <v>11268</v>
      </c>
      <c r="AA14" s="292">
        <v>10879</v>
      </c>
      <c r="AB14" s="292">
        <v>10790</v>
      </c>
      <c r="AC14" s="292">
        <v>10851</v>
      </c>
      <c r="AD14" s="292">
        <v>10778</v>
      </c>
      <c r="AE14" s="292">
        <v>11097</v>
      </c>
      <c r="AF14" s="292">
        <v>11590</v>
      </c>
      <c r="AG14" s="292">
        <v>12004</v>
      </c>
      <c r="AH14" s="292">
        <v>12325</v>
      </c>
      <c r="AI14" s="292">
        <v>12699</v>
      </c>
      <c r="AJ14" s="292">
        <v>13619</v>
      </c>
      <c r="AK14" s="292">
        <v>14274</v>
      </c>
      <c r="AL14" s="292">
        <v>14365</v>
      </c>
      <c r="AM14" s="292">
        <v>16373</v>
      </c>
      <c r="AN14" s="292">
        <v>21254</v>
      </c>
      <c r="AO14" s="292">
        <v>22468.965009539552</v>
      </c>
      <c r="AP14" s="292">
        <v>21574.663685587911</v>
      </c>
      <c r="AQ14" s="292">
        <v>18766.721023953971</v>
      </c>
      <c r="AR14" s="292">
        <v>17346.267225981195</v>
      </c>
      <c r="AS14" s="425">
        <v>16888</v>
      </c>
    </row>
    <row r="15" spans="1:93" s="291" customFormat="1" x14ac:dyDescent="0.2">
      <c r="A15" s="272" t="s">
        <v>163</v>
      </c>
      <c r="B15" s="292">
        <v>1900</v>
      </c>
      <c r="C15" s="292">
        <v>2067</v>
      </c>
      <c r="D15" s="292">
        <v>2120</v>
      </c>
      <c r="E15" s="292">
        <v>2285</v>
      </c>
      <c r="F15" s="292">
        <v>2352</v>
      </c>
      <c r="G15" s="292">
        <v>2662</v>
      </c>
      <c r="H15" s="292">
        <v>2670</v>
      </c>
      <c r="I15" s="292">
        <v>2714</v>
      </c>
      <c r="J15" s="292">
        <v>2941</v>
      </c>
      <c r="K15" s="292">
        <v>3399</v>
      </c>
      <c r="L15" s="292">
        <v>3540</v>
      </c>
      <c r="M15" s="292">
        <v>4424</v>
      </c>
      <c r="N15" s="292">
        <v>4601</v>
      </c>
      <c r="O15" s="292">
        <v>4889</v>
      </c>
      <c r="P15" s="292">
        <v>5122</v>
      </c>
      <c r="Q15" s="292">
        <v>5390</v>
      </c>
      <c r="R15" s="292">
        <v>5439</v>
      </c>
      <c r="S15" s="292">
        <v>5692</v>
      </c>
      <c r="T15" s="292">
        <v>5909</v>
      </c>
      <c r="U15" s="292">
        <v>5654</v>
      </c>
      <c r="V15" s="292">
        <v>5530</v>
      </c>
      <c r="W15" s="292">
        <v>5862</v>
      </c>
      <c r="X15" s="292">
        <v>6007</v>
      </c>
      <c r="Y15" s="292">
        <v>6106</v>
      </c>
      <c r="Z15" s="292">
        <v>6080</v>
      </c>
      <c r="AA15" s="292">
        <v>6568</v>
      </c>
      <c r="AB15" s="292">
        <v>6678</v>
      </c>
      <c r="AC15" s="292">
        <v>6800</v>
      </c>
      <c r="AD15" s="292">
        <v>6621</v>
      </c>
      <c r="AE15" s="292">
        <v>6685</v>
      </c>
      <c r="AF15" s="292">
        <v>7025</v>
      </c>
      <c r="AG15" s="292">
        <v>7135</v>
      </c>
      <c r="AH15" s="292">
        <v>7285</v>
      </c>
      <c r="AI15" s="292">
        <v>7098</v>
      </c>
      <c r="AJ15" s="292">
        <v>8641</v>
      </c>
      <c r="AK15" s="292">
        <v>8815</v>
      </c>
      <c r="AL15" s="292">
        <v>9725</v>
      </c>
      <c r="AM15" s="292">
        <v>9091</v>
      </c>
      <c r="AN15" s="292">
        <v>11672</v>
      </c>
      <c r="AO15" s="292">
        <v>10754.620649944725</v>
      </c>
      <c r="AP15" s="292">
        <v>10699</v>
      </c>
      <c r="AQ15" s="292">
        <v>11855.268957987259</v>
      </c>
      <c r="AR15" s="292">
        <v>12299.532649207755</v>
      </c>
      <c r="AS15" s="425">
        <v>12721</v>
      </c>
    </row>
    <row r="16" spans="1:93" s="291" customFormat="1" x14ac:dyDescent="0.2">
      <c r="A16" s="460" t="s">
        <v>375</v>
      </c>
      <c r="B16" s="586">
        <v>1103</v>
      </c>
      <c r="C16" s="586">
        <v>1110</v>
      </c>
      <c r="D16" s="586">
        <v>1112</v>
      </c>
      <c r="E16" s="586">
        <v>1128</v>
      </c>
      <c r="F16" s="586">
        <v>1154</v>
      </c>
      <c r="G16" s="586">
        <v>1183</v>
      </c>
      <c r="H16" s="586">
        <v>1192</v>
      </c>
      <c r="I16" s="586">
        <v>1621</v>
      </c>
      <c r="J16" s="586">
        <v>1689</v>
      </c>
      <c r="K16" s="586">
        <v>2992</v>
      </c>
      <c r="L16" s="586">
        <v>2991</v>
      </c>
      <c r="M16" s="586">
        <v>3003</v>
      </c>
      <c r="N16" s="586">
        <v>3005</v>
      </c>
      <c r="O16" s="586">
        <v>3008</v>
      </c>
      <c r="P16" s="586">
        <v>3002</v>
      </c>
      <c r="Q16" s="586">
        <v>3002</v>
      </c>
      <c r="R16" s="586">
        <v>3003</v>
      </c>
      <c r="S16" s="586">
        <v>3003</v>
      </c>
      <c r="T16" s="586">
        <v>4009</v>
      </c>
      <c r="U16" s="586">
        <v>4011</v>
      </c>
      <c r="V16" s="586">
        <v>4012</v>
      </c>
      <c r="W16" s="586">
        <v>4010</v>
      </c>
      <c r="X16" s="586">
        <v>4011</v>
      </c>
      <c r="Y16" s="586">
        <v>4010</v>
      </c>
      <c r="Z16" s="586">
        <v>4010</v>
      </c>
      <c r="AA16" s="586">
        <v>4008</v>
      </c>
      <c r="AB16" s="586">
        <v>4009</v>
      </c>
      <c r="AC16" s="586">
        <v>4036</v>
      </c>
      <c r="AD16" s="586">
        <v>4008</v>
      </c>
      <c r="AE16" s="586">
        <v>4009</v>
      </c>
      <c r="AF16" s="586">
        <v>4008</v>
      </c>
      <c r="AG16" s="586">
        <v>4007</v>
      </c>
      <c r="AH16" s="586">
        <v>4008</v>
      </c>
      <c r="AI16" s="586">
        <v>4004</v>
      </c>
      <c r="AJ16" s="586">
        <v>6409</v>
      </c>
      <c r="AK16" s="586">
        <v>6410</v>
      </c>
      <c r="AL16" s="586">
        <v>6407</v>
      </c>
      <c r="AM16" s="586">
        <v>6410</v>
      </c>
      <c r="AN16" s="586">
        <v>7491</v>
      </c>
      <c r="AO16" s="586">
        <v>7490.3513302867477</v>
      </c>
      <c r="AP16" s="586">
        <v>6907</v>
      </c>
      <c r="AQ16" s="586">
        <v>6913.9734773931996</v>
      </c>
      <c r="AR16" s="586">
        <v>6910.9124584623014</v>
      </c>
      <c r="AS16" s="587">
        <v>6918</v>
      </c>
    </row>
    <row r="17" spans="1:45" s="294" customFormat="1" ht="12.75" x14ac:dyDescent="0.2">
      <c r="A17" s="272" t="s">
        <v>164</v>
      </c>
      <c r="B17" s="293">
        <v>55.7</v>
      </c>
      <c r="C17" s="293">
        <v>54.8</v>
      </c>
      <c r="D17" s="293">
        <v>56.5</v>
      </c>
      <c r="E17" s="293">
        <v>56.4</v>
      </c>
      <c r="F17" s="293">
        <v>56.7</v>
      </c>
      <c r="G17" s="293">
        <v>55.6</v>
      </c>
      <c r="H17" s="293">
        <v>57.7</v>
      </c>
      <c r="I17" s="293">
        <v>57.8</v>
      </c>
      <c r="J17" s="293">
        <v>59.5</v>
      </c>
      <c r="K17" s="293">
        <v>53.9</v>
      </c>
      <c r="L17" s="293">
        <v>56.3</v>
      </c>
      <c r="M17" s="293">
        <v>54.5</v>
      </c>
      <c r="N17" s="293">
        <v>52</v>
      </c>
      <c r="O17" s="293">
        <v>50</v>
      </c>
      <c r="P17" s="293">
        <v>49.3</v>
      </c>
      <c r="Q17" s="293">
        <v>48.5</v>
      </c>
      <c r="R17" s="293">
        <v>49.6</v>
      </c>
      <c r="S17" s="293">
        <v>49.9</v>
      </c>
      <c r="T17" s="293">
        <v>48.1</v>
      </c>
      <c r="U17" s="293">
        <v>50.5</v>
      </c>
      <c r="V17" s="293">
        <v>52.6</v>
      </c>
      <c r="W17" s="293">
        <v>52.3</v>
      </c>
      <c r="X17" s="293">
        <v>52.1</v>
      </c>
      <c r="Y17" s="293">
        <v>52.5</v>
      </c>
      <c r="Z17" s="293">
        <v>52.8</v>
      </c>
      <c r="AA17" s="293">
        <v>50.7</v>
      </c>
      <c r="AB17" s="293">
        <v>50.2</v>
      </c>
      <c r="AC17" s="293">
        <v>50</v>
      </c>
      <c r="AD17" s="293">
        <v>50.3</v>
      </c>
      <c r="AE17" s="293">
        <v>50.9</v>
      </c>
      <c r="AF17" s="293">
        <v>51.2</v>
      </c>
      <c r="AG17" s="293">
        <v>51.9</v>
      </c>
      <c r="AH17" s="293">
        <v>52.2</v>
      </c>
      <c r="AI17" s="293">
        <v>53.4</v>
      </c>
      <c r="AJ17" s="293">
        <v>47.5</v>
      </c>
      <c r="AK17" s="293">
        <v>48.4</v>
      </c>
      <c r="AL17" s="293">
        <v>47.1</v>
      </c>
      <c r="AM17" s="293">
        <v>51.4</v>
      </c>
      <c r="AN17" s="293">
        <v>52.6</v>
      </c>
      <c r="AO17" s="293">
        <v>55.187404291519769</v>
      </c>
      <c r="AP17" s="293">
        <v>55.064101845888388</v>
      </c>
      <c r="AQ17" s="293">
        <v>50</v>
      </c>
      <c r="AR17" s="293">
        <v>47.4</v>
      </c>
      <c r="AS17" s="426">
        <v>46.2</v>
      </c>
    </row>
    <row r="18" spans="1:45" s="291" customFormat="1" x14ac:dyDescent="0.2">
      <c r="A18" s="460" t="s">
        <v>165</v>
      </c>
      <c r="B18" s="588">
        <v>6.7</v>
      </c>
      <c r="C18" s="588">
        <v>6.5</v>
      </c>
      <c r="D18" s="588">
        <v>6.4</v>
      </c>
      <c r="E18" s="588">
        <v>6</v>
      </c>
      <c r="F18" s="588">
        <v>5.8</v>
      </c>
      <c r="G18" s="588">
        <v>5.6</v>
      </c>
      <c r="H18" s="588">
        <v>5.5</v>
      </c>
      <c r="I18" s="588">
        <v>5.7</v>
      </c>
      <c r="J18" s="588">
        <v>6.3</v>
      </c>
      <c r="K18" s="588">
        <v>7.7</v>
      </c>
      <c r="L18" s="588">
        <v>8.3000000000000007</v>
      </c>
      <c r="M18" s="588">
        <v>8.5</v>
      </c>
      <c r="N18" s="588">
        <v>8</v>
      </c>
      <c r="O18" s="588">
        <v>7.6</v>
      </c>
      <c r="P18" s="588">
        <v>7.4</v>
      </c>
      <c r="Q18" s="588">
        <v>7.1</v>
      </c>
      <c r="R18" s="588">
        <v>7</v>
      </c>
      <c r="S18" s="588">
        <v>6.9</v>
      </c>
      <c r="T18" s="588">
        <v>7.3</v>
      </c>
      <c r="U18" s="588">
        <v>7.3</v>
      </c>
      <c r="V18" s="588">
        <v>7.5</v>
      </c>
      <c r="W18" s="588">
        <v>7.4</v>
      </c>
      <c r="X18" s="588">
        <v>7.4</v>
      </c>
      <c r="Y18" s="588">
        <v>7.3</v>
      </c>
      <c r="Z18" s="588">
        <v>7.2</v>
      </c>
      <c r="AA18" s="588">
        <v>7</v>
      </c>
      <c r="AB18" s="588">
        <v>6.9</v>
      </c>
      <c r="AC18" s="588">
        <v>6.7</v>
      </c>
      <c r="AD18" s="588">
        <v>6.5</v>
      </c>
      <c r="AE18" s="588">
        <v>6.6</v>
      </c>
      <c r="AF18" s="588">
        <v>6.7</v>
      </c>
      <c r="AG18" s="588">
        <v>6.7</v>
      </c>
      <c r="AH18" s="588">
        <v>6.7</v>
      </c>
      <c r="AI18" s="588">
        <v>6.7</v>
      </c>
      <c r="AJ18" s="588">
        <v>7.8</v>
      </c>
      <c r="AK18" s="588">
        <v>8</v>
      </c>
      <c r="AL18" s="588">
        <v>8.6</v>
      </c>
      <c r="AM18" s="588">
        <f>(AM13/AM10)*100</f>
        <v>9.32505609661197</v>
      </c>
      <c r="AN18" s="588">
        <f>(AN13/AN10)*100</f>
        <v>10.118950749732731</v>
      </c>
      <c r="AO18" s="588">
        <v>10.382216163647691</v>
      </c>
      <c r="AP18" s="588">
        <v>10.258135747617166</v>
      </c>
      <c r="AQ18" s="588">
        <v>10</v>
      </c>
      <c r="AR18" s="588">
        <v>9.9096779788120308</v>
      </c>
      <c r="AS18" s="589">
        <v>9.9096779788120308</v>
      </c>
    </row>
    <row r="19" spans="1:45" s="242" customFormat="1" x14ac:dyDescent="0.2">
      <c r="A19" s="272" t="s">
        <v>166</v>
      </c>
      <c r="B19" s="293">
        <v>92.2</v>
      </c>
      <c r="C19" s="293">
        <v>92.4</v>
      </c>
      <c r="D19" s="293">
        <v>92.8</v>
      </c>
      <c r="E19" s="293">
        <v>93.3</v>
      </c>
      <c r="F19" s="293">
        <v>93.4</v>
      </c>
      <c r="G19" s="293">
        <v>93.6</v>
      </c>
      <c r="H19" s="293">
        <v>93.8</v>
      </c>
      <c r="I19" s="293">
        <v>93.6</v>
      </c>
      <c r="J19" s="293">
        <v>92.4</v>
      </c>
      <c r="K19" s="293">
        <v>91.3</v>
      </c>
      <c r="L19" s="293">
        <v>90.9</v>
      </c>
      <c r="M19" s="293">
        <v>90.8</v>
      </c>
      <c r="N19" s="293">
        <v>91.4</v>
      </c>
      <c r="O19" s="293">
        <v>91.8</v>
      </c>
      <c r="P19" s="293">
        <v>92.1</v>
      </c>
      <c r="Q19" s="293">
        <v>92.4</v>
      </c>
      <c r="R19" s="293">
        <v>92.4</v>
      </c>
      <c r="S19" s="293">
        <v>92.3</v>
      </c>
      <c r="T19" s="293">
        <v>92.2</v>
      </c>
      <c r="U19" s="293">
        <v>91.9</v>
      </c>
      <c r="V19" s="293">
        <v>91.5</v>
      </c>
      <c r="W19" s="293">
        <v>91.4</v>
      </c>
      <c r="X19" s="293">
        <v>91.5</v>
      </c>
      <c r="Y19" s="293">
        <v>91.5</v>
      </c>
      <c r="Z19" s="293">
        <v>91.6</v>
      </c>
      <c r="AA19" s="293">
        <v>91.3</v>
      </c>
      <c r="AB19" s="293">
        <v>91.3</v>
      </c>
      <c r="AC19" s="293">
        <v>92.1</v>
      </c>
      <c r="AD19" s="293">
        <v>92.2</v>
      </c>
      <c r="AE19" s="293">
        <v>92.2</v>
      </c>
      <c r="AF19" s="293">
        <v>92.3</v>
      </c>
      <c r="AG19" s="293">
        <v>92.2</v>
      </c>
      <c r="AH19" s="293">
        <v>92.1</v>
      </c>
      <c r="AI19" s="293">
        <v>91.9</v>
      </c>
      <c r="AJ19" s="293">
        <v>90.9</v>
      </c>
      <c r="AK19" s="293">
        <v>90.6</v>
      </c>
      <c r="AL19" s="293">
        <v>90</v>
      </c>
      <c r="AM19" s="293">
        <v>88.7</v>
      </c>
      <c r="AN19" s="293">
        <v>87.9</v>
      </c>
      <c r="AO19" s="293">
        <v>87.239327902713796</v>
      </c>
      <c r="AP19" s="293">
        <v>86.9</v>
      </c>
      <c r="AQ19" s="293">
        <v>87.380577875931024</v>
      </c>
      <c r="AR19" s="293">
        <v>87.424200132443474</v>
      </c>
      <c r="AS19" s="426">
        <v>87.2</v>
      </c>
    </row>
    <row r="20" spans="1:45" s="242" customFormat="1" x14ac:dyDescent="0.2">
      <c r="A20" s="272" t="s">
        <v>167</v>
      </c>
      <c r="B20" s="293">
        <v>2</v>
      </c>
      <c r="C20" s="293">
        <v>1.9</v>
      </c>
      <c r="D20" s="293">
        <v>1.7</v>
      </c>
      <c r="E20" s="293">
        <v>1.6</v>
      </c>
      <c r="F20" s="293">
        <v>1.6</v>
      </c>
      <c r="G20" s="293">
        <v>1.4</v>
      </c>
      <c r="H20" s="293">
        <v>1.4</v>
      </c>
      <c r="I20" s="293">
        <v>1.6</v>
      </c>
      <c r="J20" s="293">
        <v>2</v>
      </c>
      <c r="K20" s="293">
        <v>2.2999999999999998</v>
      </c>
      <c r="L20" s="293">
        <v>2.2000000000000002</v>
      </c>
      <c r="M20" s="293">
        <v>2</v>
      </c>
      <c r="N20" s="293">
        <v>2</v>
      </c>
      <c r="O20" s="293">
        <v>2</v>
      </c>
      <c r="P20" s="293">
        <v>1.9</v>
      </c>
      <c r="Q20" s="293">
        <v>1.9</v>
      </c>
      <c r="R20" s="293">
        <v>1.9</v>
      </c>
      <c r="S20" s="293">
        <v>2</v>
      </c>
      <c r="T20" s="293">
        <v>2</v>
      </c>
      <c r="U20" s="293">
        <v>2.2000000000000002</v>
      </c>
      <c r="V20" s="293">
        <v>2.5</v>
      </c>
      <c r="W20" s="293">
        <v>2.2999999999999998</v>
      </c>
      <c r="X20" s="293">
        <v>2.5</v>
      </c>
      <c r="Y20" s="293">
        <v>2.5</v>
      </c>
      <c r="Z20" s="293">
        <v>2.6</v>
      </c>
      <c r="AA20" s="293">
        <v>3</v>
      </c>
      <c r="AB20" s="293">
        <v>3.1</v>
      </c>
      <c r="AC20" s="293">
        <v>2.1</v>
      </c>
      <c r="AD20" s="293">
        <v>2.1</v>
      </c>
      <c r="AE20" s="293">
        <v>1.9</v>
      </c>
      <c r="AF20" s="293">
        <v>1.7</v>
      </c>
      <c r="AG20" s="293">
        <v>1.8</v>
      </c>
      <c r="AH20" s="293">
        <v>1.9</v>
      </c>
      <c r="AI20" s="293">
        <v>2</v>
      </c>
      <c r="AJ20" s="293">
        <v>2.7</v>
      </c>
      <c r="AK20" s="293">
        <v>2.7</v>
      </c>
      <c r="AL20" s="293">
        <v>2.4</v>
      </c>
      <c r="AM20" s="293">
        <v>3</v>
      </c>
      <c r="AN20" s="293">
        <v>3.1</v>
      </c>
      <c r="AO20" s="293">
        <v>3.3583036116933833</v>
      </c>
      <c r="AP20" s="293">
        <v>3.4</v>
      </c>
      <c r="AQ20" s="293">
        <v>3.3</v>
      </c>
      <c r="AR20" s="293">
        <v>3.3343016460737429</v>
      </c>
      <c r="AS20" s="426">
        <v>3.5</v>
      </c>
    </row>
    <row r="21" spans="1:45" s="291" customFormat="1" x14ac:dyDescent="0.2">
      <c r="A21" s="460" t="s">
        <v>168</v>
      </c>
      <c r="B21" s="588">
        <v>5.8</v>
      </c>
      <c r="C21" s="588">
        <v>5.7</v>
      </c>
      <c r="D21" s="588">
        <v>5.5</v>
      </c>
      <c r="E21" s="588">
        <v>5.0999999999999996</v>
      </c>
      <c r="F21" s="588">
        <v>5</v>
      </c>
      <c r="G21" s="588">
        <v>4.9000000000000004</v>
      </c>
      <c r="H21" s="588">
        <v>4.8</v>
      </c>
      <c r="I21" s="588">
        <v>4.8</v>
      </c>
      <c r="J21" s="588">
        <v>5.6</v>
      </c>
      <c r="K21" s="588">
        <v>6.4</v>
      </c>
      <c r="L21" s="588">
        <v>6.9</v>
      </c>
      <c r="M21" s="588">
        <v>7.2</v>
      </c>
      <c r="N21" s="588">
        <v>6.6</v>
      </c>
      <c r="O21" s="588">
        <v>6.2</v>
      </c>
      <c r="P21" s="588">
        <v>6</v>
      </c>
      <c r="Q21" s="588">
        <v>5.7</v>
      </c>
      <c r="R21" s="588">
        <v>5.7</v>
      </c>
      <c r="S21" s="588">
        <v>5.7</v>
      </c>
      <c r="T21" s="588">
        <v>5.8</v>
      </c>
      <c r="U21" s="588">
        <v>5.9</v>
      </c>
      <c r="V21" s="588">
        <v>6</v>
      </c>
      <c r="W21" s="588">
        <v>6.3</v>
      </c>
      <c r="X21" s="588">
        <v>6</v>
      </c>
      <c r="Y21" s="588">
        <v>6</v>
      </c>
      <c r="Z21" s="588">
        <v>5.9</v>
      </c>
      <c r="AA21" s="588">
        <v>5.8</v>
      </c>
      <c r="AB21" s="588">
        <v>5.6</v>
      </c>
      <c r="AC21" s="588">
        <v>5.8</v>
      </c>
      <c r="AD21" s="588">
        <v>5.7</v>
      </c>
      <c r="AE21" s="588">
        <v>5.9</v>
      </c>
      <c r="AF21" s="588">
        <v>6</v>
      </c>
      <c r="AG21" s="588">
        <v>6</v>
      </c>
      <c r="AH21" s="588">
        <v>6.1</v>
      </c>
      <c r="AI21" s="588">
        <v>6.1</v>
      </c>
      <c r="AJ21" s="588">
        <v>6.4</v>
      </c>
      <c r="AK21" s="588">
        <v>6.6</v>
      </c>
      <c r="AL21" s="588">
        <v>7.6</v>
      </c>
      <c r="AM21" s="588">
        <v>8.3000000000000007</v>
      </c>
      <c r="AN21" s="588">
        <v>9.1</v>
      </c>
      <c r="AO21" s="588">
        <v>9.4023684855928096</v>
      </c>
      <c r="AP21" s="588">
        <v>9.6999999999999993</v>
      </c>
      <c r="AQ21" s="588">
        <v>9.3000000000000007</v>
      </c>
      <c r="AR21" s="588">
        <v>9.241498221482777</v>
      </c>
      <c r="AS21" s="589">
        <v>9.3000000000000007</v>
      </c>
    </row>
    <row r="22" spans="1:45" s="291" customFormat="1" x14ac:dyDescent="0.2">
      <c r="A22" s="272" t="s">
        <v>169</v>
      </c>
      <c r="B22" s="292">
        <v>1998</v>
      </c>
      <c r="C22" s="292">
        <v>2011</v>
      </c>
      <c r="D22" s="292">
        <v>1981</v>
      </c>
      <c r="E22" s="292">
        <v>2060</v>
      </c>
      <c r="F22" s="292">
        <v>2194</v>
      </c>
      <c r="G22" s="292">
        <v>2175</v>
      </c>
      <c r="H22" s="292">
        <v>2327</v>
      </c>
      <c r="I22" s="292">
        <v>2800</v>
      </c>
      <c r="J22" s="292">
        <v>3521</v>
      </c>
      <c r="K22" s="292">
        <v>4078</v>
      </c>
      <c r="L22" s="292">
        <v>3925</v>
      </c>
      <c r="M22" s="292">
        <v>3777</v>
      </c>
      <c r="N22" s="292">
        <v>3961</v>
      </c>
      <c r="O22" s="292">
        <v>4267</v>
      </c>
      <c r="P22" s="292">
        <v>4125</v>
      </c>
      <c r="Q22" s="292">
        <v>4285</v>
      </c>
      <c r="R22" s="292">
        <v>4751</v>
      </c>
      <c r="S22" s="292">
        <v>5095</v>
      </c>
      <c r="T22" s="292">
        <v>5268</v>
      </c>
      <c r="U22" s="292">
        <v>5847</v>
      </c>
      <c r="V22" s="292">
        <v>6807</v>
      </c>
      <c r="W22" s="292">
        <v>6356</v>
      </c>
      <c r="X22" s="292">
        <v>7192</v>
      </c>
      <c r="Y22" s="292">
        <v>7427</v>
      </c>
      <c r="Z22" s="292">
        <v>7608</v>
      </c>
      <c r="AA22" s="292">
        <v>9070</v>
      </c>
      <c r="AB22" s="292">
        <v>9590</v>
      </c>
      <c r="AC22" s="292">
        <v>6668</v>
      </c>
      <c r="AD22" s="292">
        <v>7013</v>
      </c>
      <c r="AE22" s="292">
        <v>6224</v>
      </c>
      <c r="AF22" s="292">
        <v>5734</v>
      </c>
      <c r="AG22" s="292">
        <v>6077</v>
      </c>
      <c r="AH22" s="292">
        <v>6655</v>
      </c>
      <c r="AI22" s="292">
        <v>7167</v>
      </c>
      <c r="AJ22" s="292">
        <v>9881</v>
      </c>
      <c r="AK22" s="292">
        <v>10027</v>
      </c>
      <c r="AL22" s="292">
        <v>8587</v>
      </c>
      <c r="AM22" s="292">
        <v>10282</v>
      </c>
      <c r="AN22" s="292">
        <v>12228</v>
      </c>
      <c r="AO22" s="292">
        <v>13169.612295085</v>
      </c>
      <c r="AP22" s="292">
        <v>13131</v>
      </c>
      <c r="AQ22" s="292">
        <v>12331</v>
      </c>
      <c r="AR22" s="292">
        <v>12300.208580919998</v>
      </c>
      <c r="AS22" s="425">
        <v>12933</v>
      </c>
    </row>
    <row r="23" spans="1:45" s="291" customFormat="1" x14ac:dyDescent="0.2">
      <c r="A23" s="272" t="s">
        <v>661</v>
      </c>
      <c r="B23" s="292">
        <v>532</v>
      </c>
      <c r="C23" s="292">
        <v>534</v>
      </c>
      <c r="D23" s="292">
        <v>526</v>
      </c>
      <c r="E23" s="292">
        <v>544</v>
      </c>
      <c r="F23" s="292">
        <v>587</v>
      </c>
      <c r="G23" s="292">
        <v>584</v>
      </c>
      <c r="H23" s="292">
        <v>624</v>
      </c>
      <c r="I23" s="292">
        <v>757</v>
      </c>
      <c r="J23" s="292">
        <v>923</v>
      </c>
      <c r="K23" s="292">
        <v>1091</v>
      </c>
      <c r="L23" s="292">
        <v>1035</v>
      </c>
      <c r="M23" s="292">
        <v>996</v>
      </c>
      <c r="N23" s="292">
        <v>1046</v>
      </c>
      <c r="O23" s="292">
        <v>1101</v>
      </c>
      <c r="P23" s="292">
        <v>1066</v>
      </c>
      <c r="Q23" s="292">
        <v>1121</v>
      </c>
      <c r="R23" s="292">
        <v>1258</v>
      </c>
      <c r="S23" s="292">
        <v>1379</v>
      </c>
      <c r="T23" s="292">
        <v>1419</v>
      </c>
      <c r="U23" s="292">
        <v>1572</v>
      </c>
      <c r="V23" s="292">
        <v>1871</v>
      </c>
      <c r="W23" s="292">
        <v>1738</v>
      </c>
      <c r="X23" s="292">
        <v>1982</v>
      </c>
      <c r="Y23" s="292">
        <v>2039</v>
      </c>
      <c r="Z23" s="292">
        <v>2079</v>
      </c>
      <c r="AA23" s="292">
        <v>2356</v>
      </c>
      <c r="AB23" s="292">
        <v>2467</v>
      </c>
      <c r="AC23" s="292">
        <v>1821</v>
      </c>
      <c r="AD23" s="292">
        <v>1910</v>
      </c>
      <c r="AE23" s="292">
        <v>1717</v>
      </c>
      <c r="AF23" s="292">
        <v>1591</v>
      </c>
      <c r="AG23" s="292">
        <v>1709</v>
      </c>
      <c r="AH23" s="292">
        <v>1872</v>
      </c>
      <c r="AI23" s="292">
        <v>2017</v>
      </c>
      <c r="AJ23" s="292">
        <v>2383</v>
      </c>
      <c r="AK23" s="292">
        <v>2432</v>
      </c>
      <c r="AL23" s="292">
        <v>2311</v>
      </c>
      <c r="AM23" s="292">
        <v>2652</v>
      </c>
      <c r="AN23" s="292">
        <v>3191</v>
      </c>
      <c r="AO23" s="292">
        <v>2510.7182890300001</v>
      </c>
      <c r="AP23" s="292">
        <v>2022</v>
      </c>
      <c r="AQ23" s="292">
        <v>1894</v>
      </c>
      <c r="AR23" s="292">
        <v>1935.138595591</v>
      </c>
      <c r="AS23" s="425">
        <v>1904</v>
      </c>
    </row>
    <row r="24" spans="1:45" s="291" customFormat="1" x14ac:dyDescent="0.2">
      <c r="A24" s="460" t="s">
        <v>170</v>
      </c>
      <c r="B24" s="588">
        <v>26.6</v>
      </c>
      <c r="C24" s="588">
        <v>26.6</v>
      </c>
      <c r="D24" s="588">
        <v>26.5</v>
      </c>
      <c r="E24" s="588">
        <v>26.4</v>
      </c>
      <c r="F24" s="588">
        <v>26.8</v>
      </c>
      <c r="G24" s="588">
        <v>26.8</v>
      </c>
      <c r="H24" s="588">
        <v>26.8</v>
      </c>
      <c r="I24" s="588">
        <v>27</v>
      </c>
      <c r="J24" s="588">
        <v>26.2</v>
      </c>
      <c r="K24" s="588">
        <v>26.7</v>
      </c>
      <c r="L24" s="588">
        <v>26.4</v>
      </c>
      <c r="M24" s="588">
        <v>26.4</v>
      </c>
      <c r="N24" s="588">
        <v>26.4</v>
      </c>
      <c r="O24" s="588">
        <v>25.8</v>
      </c>
      <c r="P24" s="588">
        <v>25.9</v>
      </c>
      <c r="Q24" s="588">
        <v>26.2</v>
      </c>
      <c r="R24" s="588">
        <v>26.5</v>
      </c>
      <c r="S24" s="588">
        <v>27.1</v>
      </c>
      <c r="T24" s="588">
        <v>26.9</v>
      </c>
      <c r="U24" s="588">
        <v>26.9</v>
      </c>
      <c r="V24" s="588">
        <v>27.5</v>
      </c>
      <c r="W24" s="588">
        <v>27.3</v>
      </c>
      <c r="X24" s="588">
        <v>27.6</v>
      </c>
      <c r="Y24" s="588">
        <v>27.5</v>
      </c>
      <c r="Z24" s="588">
        <v>27.3</v>
      </c>
      <c r="AA24" s="588">
        <v>26</v>
      </c>
      <c r="AB24" s="588">
        <v>25.7</v>
      </c>
      <c r="AC24" s="588">
        <v>27.3</v>
      </c>
      <c r="AD24" s="588">
        <v>27.2</v>
      </c>
      <c r="AE24" s="588">
        <v>27.6</v>
      </c>
      <c r="AF24" s="588">
        <v>27.8</v>
      </c>
      <c r="AG24" s="588">
        <v>28.1</v>
      </c>
      <c r="AH24" s="588">
        <v>28.1</v>
      </c>
      <c r="AI24" s="588">
        <v>28.1</v>
      </c>
      <c r="AJ24" s="588">
        <v>24.1</v>
      </c>
      <c r="AK24" s="588">
        <v>24.3</v>
      </c>
      <c r="AL24" s="588">
        <v>26.9</v>
      </c>
      <c r="AM24" s="588">
        <v>25.8</v>
      </c>
      <c r="AN24" s="588">
        <v>26.1</v>
      </c>
      <c r="AO24" s="588">
        <v>19.064481419601236</v>
      </c>
      <c r="AP24" s="588">
        <v>15.4</v>
      </c>
      <c r="AQ24" s="588">
        <v>15.4</v>
      </c>
      <c r="AR24" s="588">
        <v>15.732567320791407</v>
      </c>
      <c r="AS24" s="589">
        <v>14.7</v>
      </c>
    </row>
    <row r="25" spans="1:45" s="242" customFormat="1" x14ac:dyDescent="0.2">
      <c r="A25" s="272" t="s">
        <v>171</v>
      </c>
      <c r="B25" s="292">
        <v>5492</v>
      </c>
      <c r="C25" s="292">
        <v>5599</v>
      </c>
      <c r="D25" s="292">
        <v>5900</v>
      </c>
      <c r="E25" s="292">
        <v>6227</v>
      </c>
      <c r="F25" s="292">
        <v>6635</v>
      </c>
      <c r="G25" s="292">
        <v>6978</v>
      </c>
      <c r="H25" s="292">
        <v>7515</v>
      </c>
      <c r="I25" s="292">
        <v>8752</v>
      </c>
      <c r="J25" s="292">
        <v>10342</v>
      </c>
      <c r="K25" s="292">
        <v>11355</v>
      </c>
      <c r="L25" s="292">
        <v>12066</v>
      </c>
      <c r="M25" s="292">
        <v>12299</v>
      </c>
      <c r="N25" s="292">
        <v>11651</v>
      </c>
      <c r="O25" s="292">
        <v>11350</v>
      </c>
      <c r="P25" s="292">
        <v>11099</v>
      </c>
      <c r="Q25" s="292">
        <v>11172</v>
      </c>
      <c r="R25" s="292">
        <v>11858</v>
      </c>
      <c r="S25" s="292">
        <v>12639</v>
      </c>
      <c r="T25" s="292">
        <v>13381</v>
      </c>
      <c r="U25" s="292">
        <v>14592</v>
      </c>
      <c r="V25" s="292">
        <v>15400</v>
      </c>
      <c r="W25" s="292">
        <v>16105</v>
      </c>
      <c r="X25" s="292">
        <v>16262</v>
      </c>
      <c r="Y25" s="292">
        <v>16414</v>
      </c>
      <c r="Z25" s="292">
        <v>16616</v>
      </c>
      <c r="AA25" s="292">
        <v>16015</v>
      </c>
      <c r="AB25" s="292">
        <v>15664</v>
      </c>
      <c r="AC25" s="292">
        <v>15617</v>
      </c>
      <c r="AD25" s="292">
        <v>16293</v>
      </c>
      <c r="AE25" s="292">
        <v>16551</v>
      </c>
      <c r="AF25" s="292">
        <v>16601</v>
      </c>
      <c r="AG25" s="292">
        <v>17184</v>
      </c>
      <c r="AH25" s="292">
        <v>17926</v>
      </c>
      <c r="AI25" s="292">
        <v>18773</v>
      </c>
      <c r="AJ25" s="292">
        <v>19944</v>
      </c>
      <c r="AK25" s="292">
        <v>20775</v>
      </c>
      <c r="AL25" s="292">
        <v>21495</v>
      </c>
      <c r="AM25" s="292">
        <v>24209</v>
      </c>
      <c r="AN25" s="292">
        <v>29242</v>
      </c>
      <c r="AO25" s="292">
        <v>30789.761380324999</v>
      </c>
      <c r="AP25" s="292">
        <v>29089.897849710003</v>
      </c>
      <c r="AQ25" s="292">
        <v>25894</v>
      </c>
      <c r="AR25" s="292">
        <v>24187.513308424997</v>
      </c>
      <c r="AS25" s="425">
        <v>23597</v>
      </c>
    </row>
    <row r="26" spans="1:45" s="294" customFormat="1" ht="12.75" x14ac:dyDescent="0.2">
      <c r="A26" s="460" t="s">
        <v>172</v>
      </c>
      <c r="B26" s="588">
        <v>123.3</v>
      </c>
      <c r="C26" s="588">
        <v>125.6</v>
      </c>
      <c r="D26" s="588">
        <v>125.9</v>
      </c>
      <c r="E26" s="588">
        <v>125.7</v>
      </c>
      <c r="F26" s="588">
        <v>122.1</v>
      </c>
      <c r="G26" s="588">
        <v>124</v>
      </c>
      <c r="H26" s="588">
        <v>121.6</v>
      </c>
      <c r="I26" s="588">
        <v>117.3</v>
      </c>
      <c r="J26" s="588">
        <v>110.5</v>
      </c>
      <c r="K26" s="588">
        <v>122.2</v>
      </c>
      <c r="L26" s="588">
        <v>123.9</v>
      </c>
      <c r="M26" s="588">
        <v>132.6</v>
      </c>
      <c r="N26" s="588">
        <v>135.9</v>
      </c>
      <c r="O26" s="588">
        <v>139</v>
      </c>
      <c r="P26" s="588">
        <v>144.30000000000001</v>
      </c>
      <c r="Q26" s="588">
        <v>145.80000000000001</v>
      </c>
      <c r="R26" s="588">
        <v>141.19999999999999</v>
      </c>
      <c r="S26" s="588">
        <v>137.4</v>
      </c>
      <c r="T26" s="588">
        <v>142.69999999999999</v>
      </c>
      <c r="U26" s="588">
        <v>133.9</v>
      </c>
      <c r="V26" s="588">
        <v>130.6</v>
      </c>
      <c r="W26" s="588">
        <v>128.4</v>
      </c>
      <c r="X26" s="588">
        <v>128.6</v>
      </c>
      <c r="Y26" s="588">
        <v>129.80000000000001</v>
      </c>
      <c r="Z26" s="588">
        <v>128.5</v>
      </c>
      <c r="AA26" s="588">
        <v>134</v>
      </c>
      <c r="AB26" s="588">
        <v>137.1</v>
      </c>
      <c r="AC26" s="588">
        <v>138.9</v>
      </c>
      <c r="AD26" s="588">
        <v>131.4</v>
      </c>
      <c r="AE26" s="588">
        <v>131.69999999999999</v>
      </c>
      <c r="AF26" s="588">
        <v>136.30000000000001</v>
      </c>
      <c r="AG26" s="588">
        <v>134.69999999999999</v>
      </c>
      <c r="AH26" s="588">
        <v>131.69999999999999</v>
      </c>
      <c r="AI26" s="588">
        <v>126.8</v>
      </c>
      <c r="AJ26" s="588">
        <v>143.80000000000001</v>
      </c>
      <c r="AK26" s="588">
        <v>142</v>
      </c>
      <c r="AL26" s="588">
        <v>141.9</v>
      </c>
      <c r="AM26" s="588">
        <v>131.66774912767053</v>
      </c>
      <c r="AN26" s="588">
        <v>138.19999999999999</v>
      </c>
      <c r="AO26" s="588">
        <v>132.22886493625089</v>
      </c>
      <c r="AP26" s="588">
        <v>134.68935664120468</v>
      </c>
      <c r="AQ26" s="588">
        <v>145</v>
      </c>
      <c r="AR26" s="588">
        <v>151.13877920190254</v>
      </c>
      <c r="AS26" s="589">
        <v>154.80000000000001</v>
      </c>
    </row>
    <row r="27" spans="1:45" s="294" customFormat="1" ht="12.75" x14ac:dyDescent="0.2">
      <c r="A27" s="272" t="s">
        <v>173</v>
      </c>
      <c r="B27" s="292">
        <v>5869</v>
      </c>
      <c r="C27" s="292">
        <v>6173</v>
      </c>
      <c r="D27" s="292">
        <v>6434</v>
      </c>
      <c r="E27" s="292">
        <v>6693</v>
      </c>
      <c r="F27" s="292">
        <v>6934</v>
      </c>
      <c r="G27" s="292">
        <v>7570</v>
      </c>
      <c r="H27" s="292">
        <v>7927</v>
      </c>
      <c r="I27" s="292">
        <v>8661</v>
      </c>
      <c r="J27" s="292">
        <v>10040</v>
      </c>
      <c r="K27" s="292">
        <v>11504</v>
      </c>
      <c r="L27" s="292">
        <v>12484</v>
      </c>
      <c r="M27" s="292">
        <v>13845</v>
      </c>
      <c r="N27" s="292">
        <v>13161</v>
      </c>
      <c r="O27" s="292">
        <v>12967</v>
      </c>
      <c r="P27" s="292">
        <v>13062</v>
      </c>
      <c r="Q27" s="292">
        <v>13100</v>
      </c>
      <c r="R27" s="292">
        <v>13491</v>
      </c>
      <c r="S27" s="292">
        <v>14253</v>
      </c>
      <c r="T27" s="292">
        <v>14967</v>
      </c>
      <c r="U27" s="292">
        <v>15796</v>
      </c>
      <c r="V27" s="292">
        <v>16188</v>
      </c>
      <c r="W27" s="292">
        <v>17519</v>
      </c>
      <c r="X27" s="292">
        <v>17032</v>
      </c>
      <c r="Y27" s="292">
        <v>17382</v>
      </c>
      <c r="Z27" s="292">
        <v>17456</v>
      </c>
      <c r="AA27" s="292">
        <v>17577</v>
      </c>
      <c r="AB27" s="292">
        <v>17369</v>
      </c>
      <c r="AC27" s="292">
        <v>18691</v>
      </c>
      <c r="AD27" s="292">
        <v>18714</v>
      </c>
      <c r="AE27" s="292">
        <v>19388</v>
      </c>
      <c r="AF27" s="292">
        <v>20267</v>
      </c>
      <c r="AG27" s="292">
        <v>20954</v>
      </c>
      <c r="AH27" s="292">
        <v>21356</v>
      </c>
      <c r="AI27" s="292">
        <v>21497</v>
      </c>
      <c r="AJ27" s="292">
        <v>23424</v>
      </c>
      <c r="AK27" s="292">
        <v>24383</v>
      </c>
      <c r="AL27" s="292">
        <v>26842</v>
      </c>
      <c r="AM27" s="292">
        <v>28263.774421815015</v>
      </c>
      <c r="AN27" s="292">
        <v>36243</v>
      </c>
      <c r="AO27" s="292">
        <v>36871.457118894999</v>
      </c>
      <c r="AP27" s="292">
        <v>37062</v>
      </c>
      <c r="AQ27" s="292">
        <v>35104</v>
      </c>
      <c r="AR27" s="292">
        <v>34091.803259100008</v>
      </c>
      <c r="AS27" s="425">
        <v>34527</v>
      </c>
    </row>
    <row r="28" spans="1:45" s="294" customFormat="1" ht="12.75" x14ac:dyDescent="0.2">
      <c r="A28" s="272" t="s">
        <v>660</v>
      </c>
      <c r="B28" s="292">
        <v>5111</v>
      </c>
      <c r="C28" s="292">
        <v>5346</v>
      </c>
      <c r="D28" s="292">
        <v>5619</v>
      </c>
      <c r="E28" s="292">
        <v>5848</v>
      </c>
      <c r="F28" s="292">
        <v>6027</v>
      </c>
      <c r="G28" s="292">
        <v>6535</v>
      </c>
      <c r="H28" s="292">
        <v>6916</v>
      </c>
      <c r="I28" s="292">
        <v>7543</v>
      </c>
      <c r="J28" s="292">
        <v>8595</v>
      </c>
      <c r="K28" s="292">
        <v>9868</v>
      </c>
      <c r="L28" s="292">
        <v>10947</v>
      </c>
      <c r="M28" s="292">
        <v>12226</v>
      </c>
      <c r="N28" s="292">
        <v>11622</v>
      </c>
      <c r="O28" s="292">
        <v>11412</v>
      </c>
      <c r="P28" s="292">
        <v>11510</v>
      </c>
      <c r="Q28" s="292">
        <v>11579</v>
      </c>
      <c r="R28" s="292">
        <v>11899</v>
      </c>
      <c r="S28" s="292">
        <v>12509</v>
      </c>
      <c r="T28" s="292">
        <v>13142</v>
      </c>
      <c r="U28" s="292">
        <v>13859</v>
      </c>
      <c r="V28" s="292">
        <v>14305</v>
      </c>
      <c r="W28" s="292">
        <v>15084</v>
      </c>
      <c r="X28" s="292">
        <v>14999</v>
      </c>
      <c r="Y28" s="292">
        <v>15296</v>
      </c>
      <c r="Z28" s="292">
        <v>15305</v>
      </c>
      <c r="AA28" s="292">
        <v>15380</v>
      </c>
      <c r="AB28" s="292">
        <v>15215</v>
      </c>
      <c r="AC28" s="292">
        <v>15796</v>
      </c>
      <c r="AD28" s="292">
        <v>15560</v>
      </c>
      <c r="AE28" s="292">
        <v>16190</v>
      </c>
      <c r="AF28" s="292">
        <v>17044</v>
      </c>
      <c r="AG28" s="292">
        <v>17546</v>
      </c>
      <c r="AH28" s="292">
        <v>17965</v>
      </c>
      <c r="AI28" s="292">
        <v>18181</v>
      </c>
      <c r="AJ28" s="292">
        <v>20478</v>
      </c>
      <c r="AK28" s="292">
        <v>21327</v>
      </c>
      <c r="AL28" s="292">
        <v>22928</v>
      </c>
      <c r="AM28" s="292">
        <v>24381.517139455751</v>
      </c>
      <c r="AN28" s="292">
        <v>32087</v>
      </c>
      <c r="AO28" s="292">
        <v>32430.603334792944</v>
      </c>
      <c r="AP28" s="292">
        <v>34557</v>
      </c>
      <c r="AQ28" s="292">
        <v>32957</v>
      </c>
      <c r="AR28" s="292">
        <v>32057.186980423303</v>
      </c>
      <c r="AS28" s="425">
        <v>32113</v>
      </c>
    </row>
    <row r="29" spans="1:45" s="294" customFormat="1" ht="12.75" x14ac:dyDescent="0.2">
      <c r="A29" s="460" t="s">
        <v>174</v>
      </c>
      <c r="B29" s="588">
        <v>87.1</v>
      </c>
      <c r="C29" s="588">
        <v>86.6</v>
      </c>
      <c r="D29" s="588">
        <v>87.3</v>
      </c>
      <c r="E29" s="588">
        <v>87.4</v>
      </c>
      <c r="F29" s="588">
        <v>86.9</v>
      </c>
      <c r="G29" s="588">
        <v>86.3</v>
      </c>
      <c r="H29" s="588">
        <v>87.3</v>
      </c>
      <c r="I29" s="588">
        <v>87.1</v>
      </c>
      <c r="J29" s="588">
        <v>85.6</v>
      </c>
      <c r="K29" s="588">
        <v>85.8</v>
      </c>
      <c r="L29" s="588">
        <v>87.7</v>
      </c>
      <c r="M29" s="588">
        <v>88.3</v>
      </c>
      <c r="N29" s="588">
        <v>88.3</v>
      </c>
      <c r="O29" s="588">
        <v>88</v>
      </c>
      <c r="P29" s="588">
        <v>88.1</v>
      </c>
      <c r="Q29" s="588">
        <v>88.4</v>
      </c>
      <c r="R29" s="588">
        <v>88.2</v>
      </c>
      <c r="S29" s="588">
        <v>87.8</v>
      </c>
      <c r="T29" s="588">
        <v>87.8</v>
      </c>
      <c r="U29" s="588">
        <v>87.7</v>
      </c>
      <c r="V29" s="588">
        <v>88.4</v>
      </c>
      <c r="W29" s="588">
        <v>86.1</v>
      </c>
      <c r="X29" s="588">
        <v>88.1</v>
      </c>
      <c r="Y29" s="588">
        <v>88</v>
      </c>
      <c r="Z29" s="588">
        <v>87.7</v>
      </c>
      <c r="AA29" s="588">
        <v>87.5</v>
      </c>
      <c r="AB29" s="588">
        <v>87.6</v>
      </c>
      <c r="AC29" s="588">
        <v>84.5</v>
      </c>
      <c r="AD29" s="588">
        <v>83.1</v>
      </c>
      <c r="AE29" s="588">
        <v>83.5</v>
      </c>
      <c r="AF29" s="588">
        <v>84.1</v>
      </c>
      <c r="AG29" s="588">
        <v>83.7</v>
      </c>
      <c r="AH29" s="588">
        <v>84.1</v>
      </c>
      <c r="AI29" s="588">
        <v>84.6</v>
      </c>
      <c r="AJ29" s="588">
        <v>87.4</v>
      </c>
      <c r="AK29" s="588">
        <v>87.5</v>
      </c>
      <c r="AL29" s="588">
        <v>85.4</v>
      </c>
      <c r="AM29" s="588">
        <v>86.264193789479165</v>
      </c>
      <c r="AN29" s="588">
        <v>88.5</v>
      </c>
      <c r="AO29" s="588">
        <v>87.955849507704116</v>
      </c>
      <c r="AP29" s="588">
        <v>93.2</v>
      </c>
      <c r="AQ29" s="588">
        <v>93.9</v>
      </c>
      <c r="AR29" s="588">
        <v>94.031948784834043</v>
      </c>
      <c r="AS29" s="589">
        <v>93</v>
      </c>
    </row>
    <row r="30" spans="1:45" s="294" customFormat="1" ht="12.75" x14ac:dyDescent="0.2">
      <c r="A30" s="272" t="s">
        <v>175</v>
      </c>
      <c r="B30" s="292">
        <v>4569</v>
      </c>
      <c r="C30" s="292">
        <v>4740</v>
      </c>
      <c r="D30" s="292">
        <v>5034</v>
      </c>
      <c r="E30" s="292">
        <v>5227</v>
      </c>
      <c r="F30" s="292">
        <v>5518</v>
      </c>
      <c r="G30" s="292">
        <v>5878</v>
      </c>
      <c r="H30" s="292">
        <v>6347</v>
      </c>
      <c r="I30" s="292">
        <v>7100</v>
      </c>
      <c r="J30" s="292">
        <v>8397</v>
      </c>
      <c r="K30" s="292">
        <v>9182</v>
      </c>
      <c r="L30" s="292">
        <v>10033</v>
      </c>
      <c r="M30" s="292">
        <v>10501</v>
      </c>
      <c r="N30" s="292">
        <v>9742</v>
      </c>
      <c r="O30" s="292">
        <v>9397</v>
      </c>
      <c r="P30" s="292">
        <v>9439</v>
      </c>
      <c r="Q30" s="292">
        <v>9403</v>
      </c>
      <c r="R30" s="292">
        <v>9881</v>
      </c>
      <c r="S30" s="292">
        <v>10422</v>
      </c>
      <c r="T30" s="292">
        <v>11020</v>
      </c>
      <c r="U30" s="292">
        <v>11949</v>
      </c>
      <c r="V30" s="292">
        <v>12572</v>
      </c>
      <c r="W30" s="292">
        <v>13166</v>
      </c>
      <c r="X30" s="292">
        <v>13017</v>
      </c>
      <c r="Y30" s="292">
        <v>13404</v>
      </c>
      <c r="Z30" s="292">
        <v>13436</v>
      </c>
      <c r="AA30" s="292">
        <v>13029</v>
      </c>
      <c r="AB30" s="292">
        <v>12856</v>
      </c>
      <c r="AC30" s="292">
        <v>12884</v>
      </c>
      <c r="AD30" s="292">
        <v>12987</v>
      </c>
      <c r="AE30" s="292">
        <v>13560</v>
      </c>
      <c r="AF30" s="292">
        <v>13960</v>
      </c>
      <c r="AG30" s="292">
        <v>14355</v>
      </c>
      <c r="AH30" s="292">
        <v>14703</v>
      </c>
      <c r="AI30" s="292">
        <v>15185</v>
      </c>
      <c r="AJ30" s="292">
        <v>16303</v>
      </c>
      <c r="AK30" s="292">
        <v>17224</v>
      </c>
      <c r="AL30" s="292">
        <v>17217</v>
      </c>
      <c r="AM30" s="292">
        <v>19896.146267480024</v>
      </c>
      <c r="AN30" s="292">
        <v>24767</v>
      </c>
      <c r="AO30" s="292">
        <v>26209.035413484999</v>
      </c>
      <c r="AP30" s="292">
        <v>25165.654304875003</v>
      </c>
      <c r="AQ30" s="292">
        <v>22374</v>
      </c>
      <c r="AR30" s="292">
        <v>20719.235387579996</v>
      </c>
      <c r="AS30" s="425">
        <v>20510</v>
      </c>
    </row>
    <row r="31" spans="1:45" s="294" customFormat="1" ht="12.75" x14ac:dyDescent="0.2">
      <c r="A31" s="460" t="s">
        <v>176</v>
      </c>
      <c r="B31" s="588">
        <v>148.30000000000001</v>
      </c>
      <c r="C31" s="588">
        <v>148.4</v>
      </c>
      <c r="D31" s="588">
        <v>147.5</v>
      </c>
      <c r="E31" s="588">
        <v>148.30000000000001</v>
      </c>
      <c r="F31" s="588">
        <v>146.9</v>
      </c>
      <c r="G31" s="588">
        <v>147.19999999999999</v>
      </c>
      <c r="H31" s="588">
        <v>143.9</v>
      </c>
      <c r="I31" s="588">
        <v>144.5</v>
      </c>
      <c r="J31" s="588">
        <v>136.1</v>
      </c>
      <c r="K31" s="588">
        <v>151.1</v>
      </c>
      <c r="L31" s="588">
        <v>149</v>
      </c>
      <c r="M31" s="588">
        <v>155.30000000000001</v>
      </c>
      <c r="N31" s="588">
        <v>162.6</v>
      </c>
      <c r="O31" s="588">
        <v>167.9</v>
      </c>
      <c r="P31" s="588">
        <v>169.7</v>
      </c>
      <c r="Q31" s="588">
        <v>173.2</v>
      </c>
      <c r="R31" s="588">
        <v>169.4</v>
      </c>
      <c r="S31" s="588">
        <v>166.6</v>
      </c>
      <c r="T31" s="588">
        <v>173.2</v>
      </c>
      <c r="U31" s="588">
        <v>163.5</v>
      </c>
      <c r="V31" s="588">
        <v>160</v>
      </c>
      <c r="W31" s="588">
        <v>157.1</v>
      </c>
      <c r="X31" s="588">
        <v>160.69999999999999</v>
      </c>
      <c r="Y31" s="588">
        <v>158.9</v>
      </c>
      <c r="Z31" s="588">
        <v>159</v>
      </c>
      <c r="AA31" s="588">
        <v>164.7</v>
      </c>
      <c r="AB31" s="588">
        <v>167</v>
      </c>
      <c r="AC31" s="588">
        <v>168.3</v>
      </c>
      <c r="AD31" s="588">
        <v>164.8</v>
      </c>
      <c r="AE31" s="588">
        <v>160.69999999999999</v>
      </c>
      <c r="AF31" s="588">
        <v>162.1</v>
      </c>
      <c r="AG31" s="588">
        <v>161.19999999999999</v>
      </c>
      <c r="AH31" s="588">
        <v>160.6</v>
      </c>
      <c r="AI31" s="588">
        <v>156.69999999999999</v>
      </c>
      <c r="AJ31" s="588">
        <v>175.9</v>
      </c>
      <c r="AK31" s="588">
        <v>171.3</v>
      </c>
      <c r="AL31" s="588">
        <v>177.1</v>
      </c>
      <c r="AM31" s="588">
        <v>160.20813431557153</v>
      </c>
      <c r="AN31" s="588">
        <v>163.19999999999999</v>
      </c>
      <c r="AO31" s="588">
        <v>155.33937570566357</v>
      </c>
      <c r="AP31" s="588">
        <v>155.69234078594184</v>
      </c>
      <c r="AQ31" s="588">
        <v>167.8</v>
      </c>
      <c r="AR31" s="588">
        <v>176.43852029194534</v>
      </c>
      <c r="AS31" s="589">
        <v>178.1</v>
      </c>
    </row>
    <row r="32" spans="1:45" s="294" customFormat="1" ht="12.75" x14ac:dyDescent="0.2">
      <c r="A32" s="272" t="s">
        <v>377</v>
      </c>
      <c r="B32" s="292">
        <v>0</v>
      </c>
      <c r="C32" s="292">
        <v>0</v>
      </c>
      <c r="D32" s="292">
        <v>3</v>
      </c>
      <c r="E32" s="292">
        <v>0</v>
      </c>
      <c r="F32" s="292">
        <v>0</v>
      </c>
      <c r="G32" s="292">
        <v>0</v>
      </c>
      <c r="H32" s="292">
        <v>0</v>
      </c>
      <c r="I32" s="292">
        <v>0</v>
      </c>
      <c r="J32" s="292">
        <v>9339</v>
      </c>
      <c r="K32" s="292">
        <v>10055</v>
      </c>
      <c r="L32" s="292">
        <v>10727</v>
      </c>
      <c r="M32" s="292">
        <v>10978</v>
      </c>
      <c r="N32" s="292">
        <v>10465</v>
      </c>
      <c r="O32" s="292">
        <v>10132</v>
      </c>
      <c r="P32" s="292">
        <v>9886</v>
      </c>
      <c r="Q32" s="292">
        <v>9973</v>
      </c>
      <c r="R32" s="292">
        <v>10520</v>
      </c>
      <c r="S32" s="292">
        <v>11272</v>
      </c>
      <c r="T32" s="292">
        <v>11963</v>
      </c>
      <c r="U32" s="292">
        <v>12870</v>
      </c>
      <c r="V32" s="292">
        <v>13718</v>
      </c>
      <c r="W32" s="292">
        <v>14365</v>
      </c>
      <c r="X32" s="292">
        <v>14447</v>
      </c>
      <c r="Y32" s="292">
        <v>14455</v>
      </c>
      <c r="Z32" s="292">
        <v>14628</v>
      </c>
      <c r="AA32" s="292">
        <v>13980</v>
      </c>
      <c r="AB32" s="292">
        <v>13693</v>
      </c>
      <c r="AC32" s="292">
        <v>13651</v>
      </c>
      <c r="AD32" s="292">
        <v>13928</v>
      </c>
      <c r="AE32" s="292">
        <v>14538</v>
      </c>
      <c r="AF32" s="292">
        <v>14669</v>
      </c>
      <c r="AG32" s="292">
        <v>14779</v>
      </c>
      <c r="AH32" s="292">
        <v>15770</v>
      </c>
      <c r="AI32" s="292">
        <v>16246</v>
      </c>
      <c r="AJ32" s="292">
        <v>17025</v>
      </c>
      <c r="AK32" s="292">
        <v>18238</v>
      </c>
      <c r="AL32" s="292">
        <v>18727</v>
      </c>
      <c r="AM32" s="292">
        <f>19835018155.385/1000000</f>
        <v>19835.018155384998</v>
      </c>
      <c r="AN32" s="292">
        <v>25540</v>
      </c>
      <c r="AO32" s="292">
        <f>25634352989.205/1000000</f>
        <v>25634.352989205003</v>
      </c>
      <c r="AP32" s="292">
        <v>25436</v>
      </c>
      <c r="AQ32" s="292">
        <v>22483</v>
      </c>
      <c r="AR32" s="292">
        <v>20937</v>
      </c>
      <c r="AS32" s="425">
        <v>20868</v>
      </c>
    </row>
    <row r="33" spans="1:121" s="294" customFormat="1" ht="12.75" x14ac:dyDescent="0.2">
      <c r="A33" s="272" t="s">
        <v>378</v>
      </c>
      <c r="B33" s="293">
        <v>4.5999999999999996</v>
      </c>
      <c r="C33" s="293">
        <v>4.5</v>
      </c>
      <c r="D33" s="293">
        <v>4.4000000000000004</v>
      </c>
      <c r="E33" s="293">
        <v>4.2</v>
      </c>
      <c r="F33" s="293">
        <v>4.3</v>
      </c>
      <c r="G33" s="293">
        <v>4.0999999999999996</v>
      </c>
      <c r="H33" s="293">
        <v>4</v>
      </c>
      <c r="I33" s="293">
        <v>4.4000000000000004</v>
      </c>
      <c r="J33" s="293">
        <v>5.2</v>
      </c>
      <c r="K33" s="293">
        <v>5.6</v>
      </c>
      <c r="L33" s="293">
        <v>5.9</v>
      </c>
      <c r="M33" s="293">
        <v>5.7</v>
      </c>
      <c r="N33" s="293">
        <v>5.3</v>
      </c>
      <c r="O33" s="293">
        <v>4.9000000000000004</v>
      </c>
      <c r="P33" s="293">
        <v>4.5999999999999996</v>
      </c>
      <c r="Q33" s="293">
        <v>4.3</v>
      </c>
      <c r="R33" s="293">
        <v>4.4000000000000004</v>
      </c>
      <c r="S33" s="293">
        <v>4.5</v>
      </c>
      <c r="T33" s="293">
        <v>4.5999999999999996</v>
      </c>
      <c r="U33" s="293">
        <v>4.8</v>
      </c>
      <c r="V33" s="293">
        <v>5.0999999999999996</v>
      </c>
      <c r="W33" s="293">
        <v>5.0999999999999996</v>
      </c>
      <c r="X33" s="293">
        <v>5.0999999999999996</v>
      </c>
      <c r="Y33" s="293">
        <v>5</v>
      </c>
      <c r="Z33" s="293">
        <v>4.9000000000000004</v>
      </c>
      <c r="AA33" s="293">
        <v>4.5999999999999996</v>
      </c>
      <c r="AB33" s="293">
        <v>4.4000000000000004</v>
      </c>
      <c r="AC33" s="293">
        <v>4.2</v>
      </c>
      <c r="AD33" s="293">
        <v>4.2</v>
      </c>
      <c r="AE33" s="293">
        <v>4.4000000000000004</v>
      </c>
      <c r="AF33" s="293">
        <v>4.4000000000000004</v>
      </c>
      <c r="AG33" s="293">
        <v>4.3</v>
      </c>
      <c r="AH33" s="293">
        <v>4.5</v>
      </c>
      <c r="AI33" s="293">
        <v>4.5999999999999996</v>
      </c>
      <c r="AJ33" s="293">
        <v>4.7</v>
      </c>
      <c r="AK33" s="293">
        <v>5</v>
      </c>
      <c r="AL33" s="293">
        <v>5.3</v>
      </c>
      <c r="AM33" s="293">
        <v>5.8</v>
      </c>
      <c r="AN33" s="293">
        <v>6.4</v>
      </c>
      <c r="AO33" s="293">
        <v>6.5</v>
      </c>
      <c r="AP33" s="293">
        <v>6.7</v>
      </c>
      <c r="AQ33" s="293">
        <v>6</v>
      </c>
      <c r="AR33" s="293">
        <v>5.7</v>
      </c>
      <c r="AS33" s="426">
        <v>5.6</v>
      </c>
    </row>
    <row r="34" spans="1:121" s="294" customFormat="1" ht="12.75" x14ac:dyDescent="0.2">
      <c r="A34" s="460" t="s">
        <v>379</v>
      </c>
      <c r="B34" s="588">
        <v>0</v>
      </c>
      <c r="C34" s="588">
        <v>0</v>
      </c>
      <c r="D34" s="588">
        <v>0</v>
      </c>
      <c r="E34" s="588">
        <v>0</v>
      </c>
      <c r="F34" s="588">
        <v>0</v>
      </c>
      <c r="G34" s="588">
        <v>0</v>
      </c>
      <c r="H34" s="588">
        <v>0</v>
      </c>
      <c r="I34" s="588">
        <v>0</v>
      </c>
      <c r="J34" s="588">
        <v>122.3</v>
      </c>
      <c r="K34" s="588">
        <v>137.9</v>
      </c>
      <c r="L34" s="588">
        <v>139.4</v>
      </c>
      <c r="M34" s="588">
        <v>148.6</v>
      </c>
      <c r="N34" s="588">
        <v>151.30000000000001</v>
      </c>
      <c r="O34" s="588">
        <v>155.80000000000001</v>
      </c>
      <c r="P34" s="588">
        <v>162</v>
      </c>
      <c r="Q34" s="588">
        <v>163.30000000000001</v>
      </c>
      <c r="R34" s="588">
        <v>159.1</v>
      </c>
      <c r="S34" s="588">
        <v>154</v>
      </c>
      <c r="T34" s="588">
        <v>159.6</v>
      </c>
      <c r="U34" s="588">
        <v>151.80000000000001</v>
      </c>
      <c r="V34" s="588">
        <v>146.6</v>
      </c>
      <c r="W34" s="588">
        <v>144</v>
      </c>
      <c r="X34" s="588">
        <v>144.80000000000001</v>
      </c>
      <c r="Y34" s="588">
        <v>147.30000000000001</v>
      </c>
      <c r="Z34" s="588">
        <v>146</v>
      </c>
      <c r="AA34" s="588">
        <v>153.5</v>
      </c>
      <c r="AB34" s="588">
        <v>156.80000000000001</v>
      </c>
      <c r="AC34" s="588">
        <v>158.9</v>
      </c>
      <c r="AD34" s="588">
        <v>153.69999999999999</v>
      </c>
      <c r="AE34" s="588">
        <v>149.9</v>
      </c>
      <c r="AF34" s="588">
        <v>154.19999999999999</v>
      </c>
      <c r="AG34" s="588">
        <v>156.6</v>
      </c>
      <c r="AH34" s="588">
        <v>149.80000000000001</v>
      </c>
      <c r="AI34" s="588">
        <v>146.5</v>
      </c>
      <c r="AJ34" s="588">
        <v>168.4</v>
      </c>
      <c r="AK34" s="588">
        <v>161.69999999999999</v>
      </c>
      <c r="AL34" s="588">
        <v>162.9</v>
      </c>
      <c r="AM34" s="588">
        <v>160.69999999999999</v>
      </c>
      <c r="AN34" s="588">
        <v>158.30000000000001</v>
      </c>
      <c r="AO34" s="588">
        <v>158.80000000000001</v>
      </c>
      <c r="AP34" s="588">
        <v>154</v>
      </c>
      <c r="AQ34" s="588">
        <v>167</v>
      </c>
      <c r="AR34" s="588">
        <v>174.6</v>
      </c>
      <c r="AS34" s="589">
        <v>175</v>
      </c>
    </row>
    <row r="35" spans="1:121" s="294" customFormat="1" ht="12.75" x14ac:dyDescent="0.2">
      <c r="A35" s="272" t="s">
        <v>177</v>
      </c>
      <c r="B35" s="292">
        <v>0</v>
      </c>
      <c r="C35" s="292">
        <v>0</v>
      </c>
      <c r="D35" s="292">
        <v>0</v>
      </c>
      <c r="E35" s="292">
        <v>0</v>
      </c>
      <c r="F35" s="292">
        <v>0</v>
      </c>
      <c r="G35" s="292">
        <v>0</v>
      </c>
      <c r="H35" s="292">
        <v>0</v>
      </c>
      <c r="I35" s="292">
        <v>0</v>
      </c>
      <c r="J35" s="292">
        <v>7498</v>
      </c>
      <c r="K35" s="292">
        <v>8205</v>
      </c>
      <c r="L35" s="292">
        <v>8979</v>
      </c>
      <c r="M35" s="292">
        <v>9344</v>
      </c>
      <c r="N35" s="292">
        <v>8760</v>
      </c>
      <c r="O35" s="292">
        <v>8371</v>
      </c>
      <c r="P35" s="292">
        <v>8351</v>
      </c>
      <c r="Q35" s="292">
        <v>8243</v>
      </c>
      <c r="R35" s="292">
        <v>8648</v>
      </c>
      <c r="S35" s="292">
        <v>9172</v>
      </c>
      <c r="T35" s="292">
        <v>9839</v>
      </c>
      <c r="U35" s="292">
        <v>10598</v>
      </c>
      <c r="V35" s="292">
        <v>11070</v>
      </c>
      <c r="W35" s="292">
        <v>11662</v>
      </c>
      <c r="X35" s="292">
        <v>11684</v>
      </c>
      <c r="Y35" s="292">
        <v>11955</v>
      </c>
      <c r="Z35" s="292">
        <v>11904</v>
      </c>
      <c r="AA35" s="292">
        <v>11374</v>
      </c>
      <c r="AB35" s="292">
        <v>11283</v>
      </c>
      <c r="AC35" s="292">
        <v>11275</v>
      </c>
      <c r="AD35" s="292">
        <v>11048</v>
      </c>
      <c r="AE35" s="292">
        <v>11658</v>
      </c>
      <c r="AF35" s="292">
        <v>12082</v>
      </c>
      <c r="AG35" s="292">
        <v>12246</v>
      </c>
      <c r="AH35" s="292">
        <v>12631</v>
      </c>
      <c r="AI35" s="292">
        <v>13195</v>
      </c>
      <c r="AJ35" s="292">
        <v>13935</v>
      </c>
      <c r="AK35" s="292">
        <v>14896</v>
      </c>
      <c r="AL35" s="292">
        <v>14934</v>
      </c>
      <c r="AM35" s="292">
        <v>15856.363907110001</v>
      </c>
      <c r="AN35" s="292">
        <v>21375</v>
      </c>
      <c r="AO35" s="292">
        <f>21606593823.84/1000000</f>
        <v>21606.593823840001</v>
      </c>
      <c r="AP35" s="292">
        <v>21521</v>
      </c>
      <c r="AQ35" s="292">
        <v>18540</v>
      </c>
      <c r="AR35" s="292">
        <v>17603</v>
      </c>
      <c r="AS35" s="425">
        <v>17278</v>
      </c>
    </row>
    <row r="36" spans="1:121" s="294" customFormat="1" ht="12.75" x14ac:dyDescent="0.2">
      <c r="A36" s="272" t="s">
        <v>178</v>
      </c>
      <c r="B36" s="293">
        <v>0</v>
      </c>
      <c r="C36" s="293">
        <v>0</v>
      </c>
      <c r="D36" s="293">
        <v>0</v>
      </c>
      <c r="E36" s="293">
        <v>0</v>
      </c>
      <c r="F36" s="293">
        <v>0</v>
      </c>
      <c r="G36" s="293">
        <v>0</v>
      </c>
      <c r="H36" s="293">
        <v>0</v>
      </c>
      <c r="I36" s="293">
        <v>0</v>
      </c>
      <c r="J36" s="293">
        <f t="shared" ref="J36:Q36" si="4">(J35/J10)*100</f>
        <v>4.1644450368790542</v>
      </c>
      <c r="K36" s="293">
        <f t="shared" si="4"/>
        <v>4.5741650267314089</v>
      </c>
      <c r="L36" s="293">
        <f t="shared" si="4"/>
        <v>4.9616232614425675</v>
      </c>
      <c r="M36" s="293">
        <f t="shared" si="4"/>
        <v>4.8924283597484672</v>
      </c>
      <c r="N36" s="293">
        <f t="shared" si="4"/>
        <v>4.4218528371031818</v>
      </c>
      <c r="O36" s="293">
        <f t="shared" si="4"/>
        <v>4.0131742957408862</v>
      </c>
      <c r="P36" s="293">
        <f t="shared" si="4"/>
        <v>3.8435339709307139</v>
      </c>
      <c r="Q36" s="293">
        <f t="shared" si="4"/>
        <v>3.5743710269107685</v>
      </c>
      <c r="R36" s="293">
        <f t="shared" ref="R36:AA36" si="5">(R35/R10)*100</f>
        <v>3.6046550401813997</v>
      </c>
      <c r="S36" s="293">
        <f t="shared" si="5"/>
        <v>3.6566015771386655</v>
      </c>
      <c r="T36" s="293">
        <f t="shared" si="5"/>
        <v>3.7773878857915082</v>
      </c>
      <c r="U36" s="293">
        <f t="shared" si="5"/>
        <v>3.9446454360027992</v>
      </c>
      <c r="V36" s="293">
        <f t="shared" si="5"/>
        <v>4.1038302415587884</v>
      </c>
      <c r="W36" s="293">
        <f t="shared" si="5"/>
        <v>4.1774278478473459</v>
      </c>
      <c r="X36" s="293">
        <f t="shared" si="5"/>
        <v>4.1087893770703952</v>
      </c>
      <c r="Y36" s="293">
        <f t="shared" si="5"/>
        <v>4.1088122078636244</v>
      </c>
      <c r="Z36" s="293">
        <f t="shared" si="5"/>
        <v>3.9961998502767866</v>
      </c>
      <c r="AA36" s="293">
        <f t="shared" si="5"/>
        <v>3.7221874969319932</v>
      </c>
      <c r="AB36" s="293">
        <f t="shared" ref="AB36:AL36" si="6">(AB35/AB10)*100</f>
        <v>3.6203494248447798</v>
      </c>
      <c r="AC36" s="293">
        <f t="shared" si="6"/>
        <v>3.4900529621340861</v>
      </c>
      <c r="AD36" s="293">
        <f t="shared" si="6"/>
        <v>3.3656555686550473</v>
      </c>
      <c r="AE36" s="293">
        <f t="shared" si="6"/>
        <v>3.5470444338968199</v>
      </c>
      <c r="AF36" s="293">
        <f t="shared" si="6"/>
        <v>3.5968610079070213</v>
      </c>
      <c r="AG36" s="293">
        <f t="shared" si="6"/>
        <v>3.5327309862567935</v>
      </c>
      <c r="AH36" s="293">
        <f t="shared" si="6"/>
        <v>3.5840351394910672</v>
      </c>
      <c r="AI36" s="293">
        <f t="shared" si="6"/>
        <v>3.7166501419622335</v>
      </c>
      <c r="AJ36" s="293">
        <f t="shared" si="6"/>
        <v>3.806804988321427</v>
      </c>
      <c r="AK36" s="293">
        <f t="shared" si="6"/>
        <v>4.0589108843444732</v>
      </c>
      <c r="AL36" s="293">
        <f t="shared" si="6"/>
        <v>4.2219476822259221</v>
      </c>
      <c r="AM36" s="293">
        <v>4.5999999999999996</v>
      </c>
      <c r="AN36" s="293">
        <v>5.4</v>
      </c>
      <c r="AO36" s="293">
        <v>5.5</v>
      </c>
      <c r="AP36" s="293">
        <v>5.6</v>
      </c>
      <c r="AQ36" s="293">
        <v>4.9000000000000004</v>
      </c>
      <c r="AR36" s="293">
        <v>4.8</v>
      </c>
      <c r="AS36" s="426">
        <v>4.7</v>
      </c>
    </row>
    <row r="37" spans="1:121" s="294" customFormat="1" ht="12.75" x14ac:dyDescent="0.2">
      <c r="A37" s="460" t="s">
        <v>179</v>
      </c>
      <c r="B37" s="588">
        <v>145</v>
      </c>
      <c r="C37" s="588">
        <v>144.1</v>
      </c>
      <c r="D37" s="588">
        <v>144.1</v>
      </c>
      <c r="E37" s="588">
        <v>140.69999999999999</v>
      </c>
      <c r="F37" s="588">
        <v>137</v>
      </c>
      <c r="G37" s="588">
        <v>136.6</v>
      </c>
      <c r="H37" s="588">
        <v>135.69999999999999</v>
      </c>
      <c r="I37" s="588">
        <v>130.69999999999999</v>
      </c>
      <c r="J37" s="588">
        <v>152.4</v>
      </c>
      <c r="K37" s="588">
        <v>169.1</v>
      </c>
      <c r="L37" s="588">
        <v>166.5</v>
      </c>
      <c r="M37" s="588">
        <v>174.6</v>
      </c>
      <c r="N37" s="588">
        <v>180.8</v>
      </c>
      <c r="O37" s="588">
        <v>188.5</v>
      </c>
      <c r="P37" s="588">
        <v>191.8</v>
      </c>
      <c r="Q37" s="588">
        <v>197.6</v>
      </c>
      <c r="R37" s="588">
        <v>193.6</v>
      </c>
      <c r="S37" s="588">
        <v>189.3</v>
      </c>
      <c r="T37" s="588">
        <v>194</v>
      </c>
      <c r="U37" s="588">
        <v>184.4</v>
      </c>
      <c r="V37" s="588">
        <v>181.7</v>
      </c>
      <c r="W37" s="588">
        <v>177.4</v>
      </c>
      <c r="X37" s="588">
        <v>179</v>
      </c>
      <c r="Y37" s="588">
        <v>178.2</v>
      </c>
      <c r="Z37" s="588">
        <v>179.4</v>
      </c>
      <c r="AA37" s="588">
        <v>188.6</v>
      </c>
      <c r="AB37" s="588">
        <v>190.3</v>
      </c>
      <c r="AC37" s="588">
        <v>192.3</v>
      </c>
      <c r="AD37" s="588">
        <v>193.8</v>
      </c>
      <c r="AE37" s="588">
        <v>186.9</v>
      </c>
      <c r="AF37" s="588">
        <v>187.2</v>
      </c>
      <c r="AG37" s="588">
        <v>189</v>
      </c>
      <c r="AH37" s="588">
        <v>187</v>
      </c>
      <c r="AI37" s="588">
        <v>180.4</v>
      </c>
      <c r="AJ37" s="588">
        <v>205.7</v>
      </c>
      <c r="AK37" s="588">
        <v>198</v>
      </c>
      <c r="AL37" s="588">
        <v>204.2</v>
      </c>
      <c r="AM37" s="588">
        <v>201</v>
      </c>
      <c r="AN37" s="588">
        <v>189.1</v>
      </c>
      <c r="AO37" s="588">
        <v>188.4</v>
      </c>
      <c r="AP37" s="588">
        <v>182.1</v>
      </c>
      <c r="AQ37" s="588">
        <v>202.5</v>
      </c>
      <c r="AR37" s="588">
        <v>207.7</v>
      </c>
      <c r="AS37" s="589">
        <v>211.4</v>
      </c>
    </row>
    <row r="38" spans="1:121" s="287" customFormat="1" ht="5.0999999999999996" customHeight="1" x14ac:dyDescent="0.2">
      <c r="A38" s="564"/>
      <c r="B38" s="286"/>
      <c r="C38" s="286"/>
      <c r="D38" s="286"/>
      <c r="E38" s="286"/>
      <c r="F38" s="286"/>
      <c r="G38" s="286"/>
      <c r="H38" s="286"/>
      <c r="I38" s="286"/>
      <c r="J38" s="286"/>
      <c r="K38" s="286"/>
      <c r="L38" s="286"/>
      <c r="M38" s="286"/>
      <c r="N38" s="286"/>
      <c r="O38" s="286"/>
      <c r="P38" s="286"/>
      <c r="Q38" s="286"/>
      <c r="R38" s="286"/>
      <c r="S38" s="286"/>
      <c r="T38" s="286"/>
      <c r="U38" s="286"/>
      <c r="V38" s="286"/>
      <c r="W38" s="286"/>
      <c r="X38" s="286"/>
      <c r="Y38" s="286"/>
      <c r="Z38" s="286"/>
      <c r="AA38" s="286"/>
      <c r="AB38" s="286"/>
      <c r="AC38" s="286"/>
      <c r="AD38" s="286"/>
      <c r="AE38" s="286"/>
      <c r="AF38" s="286"/>
      <c r="AG38" s="286"/>
      <c r="AH38" s="286"/>
      <c r="AI38" s="286"/>
      <c r="AJ38" s="286"/>
      <c r="AK38" s="286"/>
      <c r="AL38" s="286"/>
      <c r="AM38" s="286"/>
      <c r="AN38" s="286"/>
      <c r="AO38" s="286"/>
      <c r="AP38" s="286"/>
      <c r="AQ38" s="286"/>
      <c r="AR38" s="286"/>
      <c r="AS38" s="286"/>
      <c r="AT38" s="286"/>
      <c r="AU38" s="286"/>
      <c r="AV38" s="286"/>
      <c r="AW38" s="286"/>
      <c r="AX38" s="286"/>
      <c r="AY38" s="286"/>
      <c r="AZ38" s="286"/>
      <c r="BA38" s="286"/>
      <c r="BB38" s="286"/>
      <c r="BC38" s="286"/>
      <c r="BD38" s="286"/>
      <c r="BE38" s="286"/>
      <c r="BF38" s="286"/>
      <c r="BG38" s="286"/>
      <c r="BH38" s="286"/>
      <c r="BI38" s="286"/>
      <c r="BJ38" s="286"/>
      <c r="BK38" s="286"/>
      <c r="BL38" s="286"/>
      <c r="BM38" s="286"/>
      <c r="BN38" s="286"/>
      <c r="BO38" s="286"/>
      <c r="BP38" s="286"/>
      <c r="BQ38" s="286"/>
      <c r="BR38" s="286"/>
      <c r="BS38" s="286"/>
      <c r="BT38" s="286"/>
      <c r="BU38" s="286"/>
      <c r="BV38" s="286"/>
      <c r="BW38" s="286"/>
      <c r="BX38" s="286"/>
      <c r="BY38" s="286"/>
      <c r="BZ38" s="286"/>
      <c r="CA38" s="286"/>
      <c r="CB38" s="286"/>
      <c r="CC38" s="286"/>
      <c r="CD38" s="286"/>
      <c r="CE38" s="286"/>
      <c r="CF38" s="286"/>
      <c r="CG38" s="286"/>
      <c r="CH38" s="286"/>
      <c r="CI38" s="286"/>
      <c r="CJ38" s="286"/>
      <c r="CK38" s="286"/>
      <c r="CL38" s="286"/>
      <c r="CM38" s="286"/>
      <c r="CN38" s="286"/>
      <c r="CO38" s="286"/>
      <c r="CP38" s="286"/>
      <c r="CQ38" s="286"/>
      <c r="CR38" s="286"/>
      <c r="CS38" s="286"/>
      <c r="CT38" s="286"/>
      <c r="CU38" s="286"/>
      <c r="CV38" s="286"/>
      <c r="CW38" s="286"/>
      <c r="CX38" s="286"/>
      <c r="CY38" s="286"/>
      <c r="CZ38" s="286"/>
      <c r="DA38" s="286"/>
      <c r="DB38" s="286"/>
      <c r="DC38" s="286"/>
      <c r="DD38" s="286"/>
      <c r="DE38" s="286"/>
      <c r="DF38" s="286"/>
      <c r="DG38" s="286"/>
      <c r="DH38" s="286"/>
      <c r="DI38" s="286"/>
      <c r="DJ38" s="286"/>
      <c r="DK38" s="286"/>
      <c r="DL38" s="286"/>
      <c r="DM38" s="286"/>
      <c r="DN38" s="286"/>
      <c r="DO38" s="286"/>
      <c r="DP38" s="286"/>
      <c r="DQ38" s="286"/>
    </row>
    <row r="39" spans="1:121" s="13" customFormat="1" ht="9.9499999999999993" customHeight="1" thickBot="1" x14ac:dyDescent="0.25">
      <c r="A39" s="565"/>
      <c r="B39" s="566"/>
      <c r="C39" s="566"/>
      <c r="D39" s="566"/>
      <c r="E39" s="566"/>
      <c r="F39" s="566"/>
      <c r="G39" s="566"/>
      <c r="H39" s="566"/>
      <c r="I39" s="566"/>
      <c r="J39" s="566"/>
      <c r="K39" s="566"/>
      <c r="L39" s="566"/>
      <c r="M39" s="566"/>
      <c r="N39" s="566"/>
      <c r="O39" s="566"/>
      <c r="P39" s="566"/>
      <c r="Q39" s="566"/>
      <c r="R39" s="566"/>
      <c r="S39" s="566"/>
      <c r="T39" s="566"/>
      <c r="U39" s="566"/>
      <c r="V39" s="566"/>
      <c r="W39" s="566"/>
      <c r="X39" s="566"/>
      <c r="Y39" s="566"/>
      <c r="Z39" s="566"/>
      <c r="AA39" s="566"/>
      <c r="AB39" s="566"/>
      <c r="AC39" s="566"/>
      <c r="AD39" s="566"/>
      <c r="AE39" s="566"/>
      <c r="AF39" s="566"/>
      <c r="AG39" s="566"/>
      <c r="AH39" s="566"/>
      <c r="AI39" s="566"/>
      <c r="AJ39" s="566"/>
      <c r="AK39" s="566"/>
      <c r="AL39" s="566"/>
      <c r="AM39" s="566"/>
      <c r="AN39" s="567"/>
      <c r="AO39" s="567"/>
      <c r="AP39" s="567"/>
      <c r="AQ39" s="567"/>
      <c r="AR39" s="567"/>
      <c r="AS39" s="567"/>
    </row>
    <row r="40" spans="1:121" s="13" customFormat="1" ht="13.5" thickTop="1" x14ac:dyDescent="0.2">
      <c r="A40" s="461" t="s">
        <v>206</v>
      </c>
    </row>
    <row r="41" spans="1:121" s="13" customFormat="1" ht="72" x14ac:dyDescent="0.2">
      <c r="A41" s="461" t="s">
        <v>358</v>
      </c>
      <c r="B41" s="131"/>
      <c r="C41" s="131"/>
      <c r="D41" s="131"/>
    </row>
    <row r="42" spans="1:121" s="13" customFormat="1" ht="12.75" x14ac:dyDescent="0.2">
      <c r="A42" s="461"/>
      <c r="B42" s="131"/>
      <c r="C42" s="131"/>
      <c r="D42" s="131"/>
    </row>
    <row r="43" spans="1:121" s="13" customFormat="1" ht="12.75" x14ac:dyDescent="0.2">
      <c r="A43" s="129"/>
    </row>
    <row r="44" spans="1:121" s="13" customFormat="1" ht="12.75" x14ac:dyDescent="0.2">
      <c r="A44" s="129"/>
      <c r="B44" s="75"/>
      <c r="C44" s="75"/>
      <c r="D44" s="75"/>
    </row>
    <row r="45" spans="1:121" s="13" customFormat="1" ht="12.75" x14ac:dyDescent="0.2">
      <c r="A45" s="129"/>
    </row>
    <row r="46" spans="1:121" s="13" customFormat="1" ht="12.75" x14ac:dyDescent="0.2">
      <c r="A46" s="129"/>
    </row>
    <row r="47" spans="1:121" s="13" customFormat="1" ht="12.75" x14ac:dyDescent="0.2">
      <c r="A47" s="129"/>
    </row>
    <row r="48" spans="1:121" s="13" customFormat="1" ht="12.75" x14ac:dyDescent="0.2">
      <c r="A48" s="129"/>
    </row>
    <row r="49" spans="1:1" s="13" customFormat="1" ht="12.75" x14ac:dyDescent="0.2">
      <c r="A49" s="129"/>
    </row>
    <row r="50" spans="1:1" s="13" customFormat="1" ht="12.75" x14ac:dyDescent="0.2"/>
    <row r="51" spans="1:1" s="13" customFormat="1" ht="12.75" x14ac:dyDescent="0.2"/>
    <row r="52" spans="1:1" s="13" customFormat="1" ht="12.75" x14ac:dyDescent="0.2"/>
    <row r="53" spans="1:1" s="13" customFormat="1" ht="12.75" x14ac:dyDescent="0.2"/>
    <row r="54" spans="1:1" s="13" customFormat="1" ht="12.75" x14ac:dyDescent="0.2"/>
    <row r="55" spans="1:1" s="13" customFormat="1" ht="12.75" x14ac:dyDescent="0.2"/>
    <row r="56" spans="1:1" s="13" customFormat="1" ht="12.75" x14ac:dyDescent="0.2"/>
    <row r="57" spans="1:1" s="13" customFormat="1" ht="12.75" x14ac:dyDescent="0.2"/>
    <row r="58" spans="1:1" s="13" customFormat="1" ht="12.75" x14ac:dyDescent="0.2"/>
    <row r="59" spans="1:1" s="13" customFormat="1" ht="12.75" x14ac:dyDescent="0.2"/>
    <row r="60" spans="1:1" s="13" customFormat="1" ht="12.75" x14ac:dyDescent="0.2"/>
    <row r="61" spans="1:1" s="13" customFormat="1" ht="12.75" x14ac:dyDescent="0.2"/>
    <row r="62" spans="1:1" s="13" customFormat="1" ht="12.75" x14ac:dyDescent="0.2"/>
    <row r="63" spans="1:1" s="13" customFormat="1" ht="12.75" x14ac:dyDescent="0.2"/>
    <row r="64" spans="1:1" s="13" customFormat="1" ht="12.75" x14ac:dyDescent="0.2"/>
    <row r="65" s="13" customFormat="1" ht="12.75" x14ac:dyDescent="0.2"/>
    <row r="66" s="13" customFormat="1" ht="12.75" x14ac:dyDescent="0.2"/>
    <row r="67" s="13" customFormat="1" ht="12.75" x14ac:dyDescent="0.2"/>
    <row r="68" s="13" customFormat="1" ht="12.75" x14ac:dyDescent="0.2"/>
    <row r="69" s="13" customFormat="1" ht="12.75" x14ac:dyDescent="0.2"/>
    <row r="70" s="13" customFormat="1" ht="12.75" x14ac:dyDescent="0.2"/>
    <row r="71" s="13" customFormat="1" ht="12.75" x14ac:dyDescent="0.2"/>
    <row r="72" s="13" customFormat="1" ht="12.75" x14ac:dyDescent="0.2"/>
    <row r="73" s="13" customFormat="1" ht="12.75" x14ac:dyDescent="0.2"/>
    <row r="74" s="13" customFormat="1" ht="12.75" x14ac:dyDescent="0.2"/>
    <row r="75" s="13" customFormat="1" ht="12.75" x14ac:dyDescent="0.2"/>
    <row r="76" s="13" customFormat="1" ht="12.75" x14ac:dyDescent="0.2"/>
    <row r="77" s="13" customFormat="1" ht="12.75" x14ac:dyDescent="0.2"/>
    <row r="78" s="13" customFormat="1" ht="12.75" x14ac:dyDescent="0.2"/>
    <row r="79" s="13" customFormat="1" ht="12.75" x14ac:dyDescent="0.2"/>
    <row r="80" s="13" customFormat="1" ht="12.75" x14ac:dyDescent="0.2"/>
    <row r="81" s="13" customFormat="1" ht="12.75" x14ac:dyDescent="0.2"/>
    <row r="82" s="13" customFormat="1" ht="12.75" x14ac:dyDescent="0.2"/>
    <row r="83" s="13" customFormat="1" ht="12.75" x14ac:dyDescent="0.2"/>
    <row r="84" s="13" customFormat="1" ht="12.75" x14ac:dyDescent="0.2"/>
    <row r="85" s="13" customFormat="1" ht="12.75" x14ac:dyDescent="0.2"/>
    <row r="86" s="13" customFormat="1" ht="12.75" x14ac:dyDescent="0.2"/>
    <row r="87" s="13" customFormat="1" ht="12.75" x14ac:dyDescent="0.2"/>
    <row r="88" s="13" customFormat="1" ht="12.75" x14ac:dyDescent="0.2"/>
    <row r="89" s="13" customFormat="1" ht="12.75" x14ac:dyDescent="0.2"/>
    <row r="90" s="13" customFormat="1" ht="12.75" x14ac:dyDescent="0.2"/>
    <row r="91" s="13" customFormat="1" ht="12.75" x14ac:dyDescent="0.2"/>
    <row r="92" s="13" customFormat="1" ht="12.75" x14ac:dyDescent="0.2"/>
    <row r="93" s="13" customFormat="1" ht="12.75" x14ac:dyDescent="0.2"/>
    <row r="94" s="13" customFormat="1" ht="12.75" x14ac:dyDescent="0.2"/>
    <row r="95" s="13" customFormat="1" ht="12.75" x14ac:dyDescent="0.2"/>
    <row r="96" s="13" customFormat="1" ht="12.75" x14ac:dyDescent="0.2"/>
    <row r="97" s="13" customFormat="1" ht="12.75" x14ac:dyDescent="0.2"/>
    <row r="98" s="13" customFormat="1" ht="12.75" x14ac:dyDescent="0.2"/>
    <row r="99" s="13" customFormat="1" ht="12.75" x14ac:dyDescent="0.2"/>
    <row r="100" s="13" customFormat="1" ht="12.75" x14ac:dyDescent="0.2"/>
    <row r="101" s="13" customFormat="1" ht="12.75" x14ac:dyDescent="0.2"/>
    <row r="102" s="13" customFormat="1" ht="12.75" x14ac:dyDescent="0.2"/>
    <row r="103" s="13" customFormat="1" ht="12.75" x14ac:dyDescent="0.2"/>
    <row r="104" s="13" customFormat="1" ht="12.75" x14ac:dyDescent="0.2"/>
    <row r="105" s="13" customFormat="1" ht="12.75" x14ac:dyDescent="0.2"/>
    <row r="106" s="13" customFormat="1" ht="12.75" x14ac:dyDescent="0.2"/>
    <row r="107" s="13" customFormat="1" ht="12.75" x14ac:dyDescent="0.2"/>
    <row r="108" s="13" customFormat="1" ht="12.75" x14ac:dyDescent="0.2"/>
    <row r="109" s="13" customFormat="1" ht="12.75" x14ac:dyDescent="0.2"/>
    <row r="110" s="13" customFormat="1" ht="12.75" x14ac:dyDescent="0.2"/>
    <row r="111" s="13" customFormat="1" ht="12.75" x14ac:dyDescent="0.2"/>
    <row r="112" s="13" customFormat="1" ht="12.75" x14ac:dyDescent="0.2"/>
    <row r="113" spans="14:17" s="13" customFormat="1" ht="12.75" x14ac:dyDescent="0.2"/>
    <row r="114" spans="14:17" s="13" customFormat="1" ht="12.75" x14ac:dyDescent="0.2"/>
    <row r="115" spans="14:17" s="13" customFormat="1" ht="12.75" x14ac:dyDescent="0.2"/>
    <row r="116" spans="14:17" s="13" customFormat="1" ht="12.75" x14ac:dyDescent="0.2"/>
    <row r="117" spans="14:17" ht="12.75" x14ac:dyDescent="0.2">
      <c r="N117" s="13"/>
      <c r="O117" s="13"/>
      <c r="P117" s="13"/>
      <c r="Q117" s="13"/>
    </row>
    <row r="118" spans="14:17" ht="12.75" x14ac:dyDescent="0.2">
      <c r="N118" s="13"/>
      <c r="O118" s="13"/>
      <c r="P118" s="13"/>
      <c r="Q118" s="13"/>
    </row>
    <row r="119" spans="14:17" ht="12.75" x14ac:dyDescent="0.2">
      <c r="N119" s="13"/>
      <c r="O119" s="13"/>
      <c r="P119" s="13"/>
      <c r="Q119" s="13"/>
    </row>
    <row r="120" spans="14:17" ht="12.75" x14ac:dyDescent="0.2">
      <c r="N120" s="13"/>
      <c r="O120" s="13"/>
      <c r="P120" s="13"/>
      <c r="Q120" s="13"/>
    </row>
    <row r="121" spans="14:17" ht="12.75" x14ac:dyDescent="0.2">
      <c r="N121" s="13"/>
      <c r="O121" s="13"/>
      <c r="P121" s="13"/>
      <c r="Q121" s="13"/>
    </row>
    <row r="122" spans="14:17" ht="12.75" x14ac:dyDescent="0.2">
      <c r="N122" s="13"/>
      <c r="O122" s="13"/>
      <c r="P122" s="13"/>
      <c r="Q122" s="13"/>
    </row>
    <row r="123" spans="14:17" ht="12.75" x14ac:dyDescent="0.2">
      <c r="N123" s="13"/>
      <c r="O123" s="13"/>
      <c r="P123" s="13"/>
      <c r="Q123" s="13"/>
    </row>
    <row r="124" spans="14:17" ht="12.75" x14ac:dyDescent="0.2">
      <c r="N124" s="13"/>
      <c r="O124" s="13"/>
      <c r="P124" s="13"/>
      <c r="Q124" s="13"/>
    </row>
    <row r="125" spans="14:17" ht="12.75" x14ac:dyDescent="0.2">
      <c r="N125" s="13"/>
      <c r="O125" s="13"/>
      <c r="P125" s="13"/>
      <c r="Q125" s="13"/>
    </row>
    <row r="126" spans="14:17" ht="12.75" x14ac:dyDescent="0.2">
      <c r="N126" s="13"/>
      <c r="O126" s="13"/>
      <c r="P126" s="13"/>
      <c r="Q126" s="13"/>
    </row>
    <row r="127" spans="14:17" ht="12.75" x14ac:dyDescent="0.2">
      <c r="N127" s="13"/>
      <c r="O127" s="13"/>
      <c r="P127" s="13"/>
      <c r="Q127" s="13"/>
    </row>
    <row r="128" spans="14:17" ht="12.75" x14ac:dyDescent="0.2">
      <c r="N128" s="13"/>
      <c r="O128" s="13"/>
      <c r="P128" s="13"/>
      <c r="Q128" s="13"/>
    </row>
    <row r="129" spans="14:17" ht="12.75" x14ac:dyDescent="0.2">
      <c r="N129" s="13"/>
      <c r="O129" s="13"/>
      <c r="P129" s="13"/>
      <c r="Q129" s="13"/>
    </row>
    <row r="130" spans="14:17" ht="12.75" x14ac:dyDescent="0.2">
      <c r="N130" s="13"/>
      <c r="O130" s="13"/>
      <c r="P130" s="13"/>
      <c r="Q130" s="13"/>
    </row>
    <row r="131" spans="14:17" ht="12.75" x14ac:dyDescent="0.2">
      <c r="N131" s="13"/>
      <c r="O131" s="13"/>
      <c r="P131" s="13"/>
      <c r="Q131" s="13"/>
    </row>
    <row r="132" spans="14:17" ht="12.75" x14ac:dyDescent="0.2">
      <c r="N132" s="13"/>
      <c r="O132" s="13"/>
      <c r="P132" s="13"/>
      <c r="Q132" s="13"/>
    </row>
    <row r="133" spans="14:17" ht="12.75" x14ac:dyDescent="0.2">
      <c r="N133" s="13"/>
      <c r="O133" s="13"/>
      <c r="P133" s="13"/>
      <c r="Q133" s="13"/>
    </row>
    <row r="134" spans="14:17" ht="12.75" x14ac:dyDescent="0.2">
      <c r="N134" s="13"/>
      <c r="O134" s="13"/>
      <c r="P134" s="13"/>
      <c r="Q134" s="13"/>
    </row>
    <row r="135" spans="14:17" ht="12.75" x14ac:dyDescent="0.2">
      <c r="N135" s="13"/>
      <c r="O135" s="13"/>
      <c r="P135" s="13"/>
      <c r="Q135" s="13"/>
    </row>
    <row r="136" spans="14:17" ht="12.75" x14ac:dyDescent="0.2">
      <c r="N136" s="13"/>
      <c r="O136" s="13"/>
      <c r="P136" s="13"/>
      <c r="Q136" s="13"/>
    </row>
    <row r="137" spans="14:17" ht="12.75" x14ac:dyDescent="0.2">
      <c r="N137" s="13"/>
      <c r="O137" s="13"/>
      <c r="P137" s="13"/>
      <c r="Q137" s="13"/>
    </row>
    <row r="138" spans="14:17" ht="12.75" x14ac:dyDescent="0.2">
      <c r="N138" s="13"/>
      <c r="O138" s="13"/>
      <c r="P138" s="13"/>
      <c r="Q138" s="13"/>
    </row>
    <row r="139" spans="14:17" ht="12.75" x14ac:dyDescent="0.2">
      <c r="N139" s="13"/>
      <c r="O139" s="13"/>
      <c r="P139" s="13"/>
      <c r="Q139" s="13"/>
    </row>
    <row r="140" spans="14:17" ht="12.75" x14ac:dyDescent="0.2">
      <c r="N140" s="13"/>
      <c r="O140" s="13"/>
      <c r="P140" s="13"/>
      <c r="Q140" s="13"/>
    </row>
    <row r="141" spans="14:17" ht="12.75" x14ac:dyDescent="0.2">
      <c r="N141" s="13"/>
      <c r="O141" s="13"/>
      <c r="P141" s="13"/>
      <c r="Q141" s="13"/>
    </row>
    <row r="142" spans="14:17" ht="12.75" x14ac:dyDescent="0.2">
      <c r="N142" s="13"/>
      <c r="O142" s="13"/>
      <c r="P142" s="13"/>
      <c r="Q142" s="13"/>
    </row>
    <row r="143" spans="14:17" ht="12.75" x14ac:dyDescent="0.2">
      <c r="N143" s="13"/>
      <c r="O143" s="13"/>
      <c r="P143" s="13"/>
      <c r="Q143" s="13"/>
    </row>
    <row r="144" spans="14:17" ht="12.75" x14ac:dyDescent="0.2">
      <c r="N144" s="13"/>
      <c r="O144" s="13"/>
      <c r="P144" s="13"/>
      <c r="Q144" s="13"/>
    </row>
    <row r="145" spans="14:17" ht="12.75" x14ac:dyDescent="0.2">
      <c r="N145" s="13"/>
      <c r="O145" s="13"/>
      <c r="P145" s="13"/>
      <c r="Q145" s="13"/>
    </row>
    <row r="146" spans="14:17" ht="12.75" x14ac:dyDescent="0.2">
      <c r="N146" s="13"/>
      <c r="O146" s="13"/>
      <c r="P146" s="13"/>
      <c r="Q146" s="13"/>
    </row>
    <row r="147" spans="14:17" ht="12.75" x14ac:dyDescent="0.2">
      <c r="N147" s="13"/>
      <c r="O147" s="13"/>
      <c r="P147" s="13"/>
      <c r="Q147" s="13"/>
    </row>
    <row r="148" spans="14:17" ht="12.75" x14ac:dyDescent="0.2">
      <c r="N148" s="13"/>
      <c r="O148" s="13"/>
      <c r="P148" s="13"/>
      <c r="Q148" s="13"/>
    </row>
    <row r="149" spans="14:17" ht="12.75" x14ac:dyDescent="0.2">
      <c r="N149" s="13"/>
      <c r="O149" s="13"/>
      <c r="P149" s="13"/>
      <c r="Q149" s="13"/>
    </row>
    <row r="150" spans="14:17" ht="12.75" x14ac:dyDescent="0.2">
      <c r="N150" s="13"/>
      <c r="O150" s="13"/>
      <c r="P150" s="13"/>
      <c r="Q150" s="13"/>
    </row>
    <row r="151" spans="14:17" ht="12.75" x14ac:dyDescent="0.2">
      <c r="N151" s="13"/>
      <c r="O151" s="13"/>
      <c r="P151" s="13"/>
      <c r="Q151" s="13"/>
    </row>
    <row r="152" spans="14:17" ht="12.75" x14ac:dyDescent="0.2">
      <c r="N152" s="13"/>
      <c r="O152" s="13"/>
      <c r="P152" s="13"/>
      <c r="Q152" s="13"/>
    </row>
  </sheetData>
  <customSheetViews>
    <customSheetView guid="{B7440494-8EA9-4463-9947-E5D20E74049D}" showGridLines="0">
      <pane xSplit="1" ySplit="10" topLeftCell="AG29" activePane="bottomRight" state="frozen"/>
      <selection pane="bottomRight" activeCell="AI10" sqref="AI10"/>
      <colBreaks count="4" manualBreakCount="4">
        <brk id="9" max="41" man="1"/>
        <brk id="17" max="41" man="1"/>
        <brk id="25" max="41" man="1"/>
        <brk id="33" max="41" man="1"/>
      </colBreaks>
      <pageMargins left="0" right="0" top="0.78740157480314965" bottom="0" header="0" footer="0"/>
      <printOptions horizontalCentered="1"/>
      <pageSetup paperSize="9" scale="69" orientation="landscape" horizontalDpi="1200" verticalDpi="1200" r:id="rId1"/>
      <headerFooter alignWithMargins="0">
        <oddHeader>&amp;R&amp;P/&amp;N</oddHeader>
      </headerFooter>
    </customSheetView>
    <customSheetView guid="{6D89F6EF-F5AD-478F-979A-5AF1BC78EF91}" showGridLines="0">
      <pane xSplit="1" ySplit="10" topLeftCell="B11" activePane="bottomRight" state="frozen"/>
      <selection pane="bottomRight" activeCell="B12" sqref="B12"/>
      <colBreaks count="6" manualBreakCount="6">
        <brk id="16" max="32" man="1"/>
        <brk id="32" max="32" man="1"/>
        <brk id="48" max="32" man="1"/>
        <brk id="64" max="33" man="1"/>
        <brk id="81" max="35" man="1"/>
        <brk id="97" max="35" man="1"/>
      </colBreaks>
      <pageMargins left="0" right="0" top="0.74803149606299213" bottom="0" header="0" footer="0"/>
      <printOptions horizontalCentered="1" verticalCentered="1"/>
      <pageSetup paperSize="9" orientation="landscape" horizontalDpi="1200" verticalDpi="1200" r:id="rId2"/>
      <headerFooter alignWithMargins="0"/>
    </customSheetView>
    <customSheetView guid="{A9134056-6B1C-4A42-AFE9-9712EF3EF3D4}" showPageBreaks="1" showGridLines="0" printArea="1">
      <pane xSplit="1" ySplit="10" topLeftCell="B11" activePane="bottomRight" state="frozen"/>
      <selection pane="bottomRight" activeCell="B12" sqref="B12"/>
      <colBreaks count="8" manualBreakCount="8">
        <brk id="8" min="1" max="31" man="1"/>
        <brk id="15" min="1" max="31" man="1"/>
        <brk id="16" max="32" man="1"/>
        <brk id="32" max="32" man="1"/>
        <brk id="48" max="32" man="1"/>
        <brk id="64" max="33" man="1"/>
        <brk id="81" max="35" man="1"/>
        <brk id="97" max="35" man="1"/>
      </colBreaks>
      <pageMargins left="0" right="0" top="0.74803149606299213" bottom="0" header="0" footer="0"/>
      <printOptions horizontalCentered="1" verticalCentered="1"/>
      <pageSetup paperSize="9" orientation="landscape" horizontalDpi="1200" verticalDpi="1200" r:id="rId3"/>
      <headerFooter alignWithMargins="0"/>
    </customSheetView>
  </customSheetViews>
  <hyperlinks>
    <hyperlink ref="AS6" location="Índex!E9" display="Índex"/>
  </hyperlinks>
  <printOptions horizontalCentered="1"/>
  <pageMargins left="0" right="0" top="0.39370078740157483" bottom="0" header="0" footer="0"/>
  <pageSetup paperSize="9" scale="88" orientation="landscape" horizontalDpi="1200" verticalDpi="1200" r:id="rId4"/>
  <headerFooter alignWithMargins="0">
    <oddHeader>&amp;R&amp;P/&amp;N</oddHeader>
  </headerFooter>
  <colBreaks count="9" manualBreakCount="9">
    <brk id="9" max="40" man="1"/>
    <brk id="17" max="40" man="1"/>
    <brk id="25" max="40" man="1"/>
    <brk id="33" max="40" man="1"/>
    <brk id="41" max="40" man="1"/>
    <brk id="48" max="32" man="1"/>
    <brk id="64" max="33" man="1"/>
    <brk id="81" max="35" man="1"/>
    <brk id="97" max="35" man="1"/>
  </colBreaks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39</vt:i4>
      </vt:variant>
      <vt:variant>
        <vt:lpstr>Intervalos nomeados</vt:lpstr>
      </vt:variant>
      <vt:variant>
        <vt:i4>76</vt:i4>
      </vt:variant>
    </vt:vector>
  </HeadingPairs>
  <TitlesOfParts>
    <vt:vector size="115" baseType="lpstr">
      <vt:lpstr>Sumário</vt:lpstr>
      <vt:lpstr>Índex</vt:lpstr>
      <vt:lpstr>Managerial Assets</vt:lpstr>
      <vt:lpstr>Managerial Liabilities </vt:lpstr>
      <vt:lpstr> Recurring Income Statement</vt:lpstr>
      <vt:lpstr>Accounting Assets</vt:lpstr>
      <vt:lpstr>Accounting Liabilities</vt:lpstr>
      <vt:lpstr>Statement Income </vt:lpstr>
      <vt:lpstr>Balance Sheet by Currency</vt:lpstr>
      <vt:lpstr>Securities</vt:lpstr>
      <vt:lpstr>Securities by Issuer</vt:lpstr>
      <vt:lpstr>Loan Operations</vt:lpstr>
      <vt:lpstr>Activity Sector (former)</vt:lpstr>
      <vt:lpstr>Activity Sector (current)</vt:lpstr>
      <vt:lpstr>Portfolio by Company Size (Bac)</vt:lpstr>
      <vt:lpstr>Portfolio by Company Size (exp)</vt:lpstr>
      <vt:lpstr>Portfolio by Type (Bacen)</vt:lpstr>
      <vt:lpstr>Portfolio by Type (exp)</vt:lpstr>
      <vt:lpstr>Consumer Financing</vt:lpstr>
      <vt:lpstr>Largest Borrowers</vt:lpstr>
      <vt:lpstr>Allowance for Loan Losses - PDD</vt:lpstr>
      <vt:lpstr>Expense of Provision</vt:lpstr>
      <vt:lpstr>PDD Movement</vt:lpstr>
      <vt:lpstr>Tax Credits</vt:lpstr>
      <vt:lpstr>Funding and Assets Managed</vt:lpstr>
      <vt:lpstr>Liability Contingencies</vt:lpstr>
      <vt:lpstr>Provisions by Account</vt:lpstr>
      <vt:lpstr>Technical Provisions by Product</vt:lpstr>
      <vt:lpstr>Income From Insurance</vt:lpstr>
      <vt:lpstr>Income Breakdown by Segment</vt:lpstr>
      <vt:lpstr>Adjusted Net Interest Income</vt:lpstr>
      <vt:lpstr>Fee and Commission Income</vt:lpstr>
      <vt:lpstr>Personnel Expenses</vt:lpstr>
      <vt:lpstr>Other Administrative Expenses</vt:lpstr>
      <vt:lpstr>Performance Ratios</vt:lpstr>
      <vt:lpstr>Efficiency Ratio (12 months)</vt:lpstr>
      <vt:lpstr>Coverage Ratio (12 months)</vt:lpstr>
      <vt:lpstr>Capital Adequacy Ratio</vt:lpstr>
      <vt:lpstr>Loan Portfolio - Indicators</vt:lpstr>
      <vt:lpstr>' Recurring Income Statement'!Area_de_impressao</vt:lpstr>
      <vt:lpstr>'Accounting Assets'!Area_de_impressao</vt:lpstr>
      <vt:lpstr>'Accounting Liabilities'!Area_de_impressao</vt:lpstr>
      <vt:lpstr>'Activity Sector (current)'!Area_de_impressao</vt:lpstr>
      <vt:lpstr>'Activity Sector (former)'!Area_de_impressao</vt:lpstr>
      <vt:lpstr>'Adjusted Net Interest Income'!Area_de_impressao</vt:lpstr>
      <vt:lpstr>'Allowance for Loan Losses - PDD'!Area_de_impressao</vt:lpstr>
      <vt:lpstr>'Balance Sheet by Currency'!Area_de_impressao</vt:lpstr>
      <vt:lpstr>'Capital Adequacy Ratio'!Area_de_impressao</vt:lpstr>
      <vt:lpstr>'Consumer Financing'!Area_de_impressao</vt:lpstr>
      <vt:lpstr>'Coverage Ratio (12 months)'!Area_de_impressao</vt:lpstr>
      <vt:lpstr>'Efficiency Ratio (12 months)'!Area_de_impressao</vt:lpstr>
      <vt:lpstr>'Expense of Provision'!Area_de_impressao</vt:lpstr>
      <vt:lpstr>'Fee and Commission Income'!Area_de_impressao</vt:lpstr>
      <vt:lpstr>'Funding and Assets Managed'!Area_de_impressao</vt:lpstr>
      <vt:lpstr>'Income Breakdown by Segment'!Area_de_impressao</vt:lpstr>
      <vt:lpstr>'Income From Insurance'!Area_de_impressao</vt:lpstr>
      <vt:lpstr>Índex!Area_de_impressao</vt:lpstr>
      <vt:lpstr>'Largest Borrowers'!Area_de_impressao</vt:lpstr>
      <vt:lpstr>'Liability Contingencies'!Area_de_impressao</vt:lpstr>
      <vt:lpstr>'Loan Operations'!Area_de_impressao</vt:lpstr>
      <vt:lpstr>'Loan Portfolio - Indicators'!Area_de_impressao</vt:lpstr>
      <vt:lpstr>'Managerial Assets'!Area_de_impressao</vt:lpstr>
      <vt:lpstr>'Managerial Liabilities '!Area_de_impressao</vt:lpstr>
      <vt:lpstr>'Other Administrative Expenses'!Area_de_impressao</vt:lpstr>
      <vt:lpstr>'PDD Movement'!Area_de_impressao</vt:lpstr>
      <vt:lpstr>'Performance Ratios'!Area_de_impressao</vt:lpstr>
      <vt:lpstr>'Personnel Expenses'!Area_de_impressao</vt:lpstr>
      <vt:lpstr>'Portfolio by Company Size (Bac)'!Area_de_impressao</vt:lpstr>
      <vt:lpstr>'Portfolio by Company Size (exp)'!Area_de_impressao</vt:lpstr>
      <vt:lpstr>'Portfolio by Type (Bacen)'!Area_de_impressao</vt:lpstr>
      <vt:lpstr>'Portfolio by Type (exp)'!Area_de_impressao</vt:lpstr>
      <vt:lpstr>'Provisions by Account'!Area_de_impressao</vt:lpstr>
      <vt:lpstr>Securities!Area_de_impressao</vt:lpstr>
      <vt:lpstr>'Securities by Issuer'!Area_de_impressao</vt:lpstr>
      <vt:lpstr>'Statement Income '!Area_de_impressao</vt:lpstr>
      <vt:lpstr>Sumário!Area_de_impressao</vt:lpstr>
      <vt:lpstr>'Tax Credits'!Area_de_impressao</vt:lpstr>
      <vt:lpstr>'Technical Provisions by Product'!Area_de_impressao</vt:lpstr>
      <vt:lpstr>' Recurring Income Statement'!Titulos_de_impressao</vt:lpstr>
      <vt:lpstr>'Accounting Assets'!Titulos_de_impressao</vt:lpstr>
      <vt:lpstr>'Accounting Liabilities'!Titulos_de_impressao</vt:lpstr>
      <vt:lpstr>'Activity Sector (current)'!Titulos_de_impressao</vt:lpstr>
      <vt:lpstr>'Activity Sector (former)'!Titulos_de_impressao</vt:lpstr>
      <vt:lpstr>'Adjusted Net Interest Income'!Titulos_de_impressao</vt:lpstr>
      <vt:lpstr>'Allowance for Loan Losses - PDD'!Titulos_de_impressao</vt:lpstr>
      <vt:lpstr>'Balance Sheet by Currency'!Titulos_de_impressao</vt:lpstr>
      <vt:lpstr>'Capital Adequacy Ratio'!Titulos_de_impressao</vt:lpstr>
      <vt:lpstr>'Consumer Financing'!Titulos_de_impressao</vt:lpstr>
      <vt:lpstr>'Coverage Ratio (12 months)'!Titulos_de_impressao</vt:lpstr>
      <vt:lpstr>'Efficiency Ratio (12 months)'!Titulos_de_impressao</vt:lpstr>
      <vt:lpstr>'Expense of Provision'!Titulos_de_impressao</vt:lpstr>
      <vt:lpstr>'Fee and Commission Income'!Titulos_de_impressao</vt:lpstr>
      <vt:lpstr>'Funding and Assets Managed'!Titulos_de_impressao</vt:lpstr>
      <vt:lpstr>'Income Breakdown by Segment'!Titulos_de_impressao</vt:lpstr>
      <vt:lpstr>'Income From Insurance'!Titulos_de_impressao</vt:lpstr>
      <vt:lpstr>'Largest Borrowers'!Titulos_de_impressao</vt:lpstr>
      <vt:lpstr>'Liability Contingencies'!Titulos_de_impressao</vt:lpstr>
      <vt:lpstr>'Loan Operations'!Titulos_de_impressao</vt:lpstr>
      <vt:lpstr>'Loan Portfolio - Indicators'!Titulos_de_impressao</vt:lpstr>
      <vt:lpstr>'Managerial Assets'!Titulos_de_impressao</vt:lpstr>
      <vt:lpstr>'Managerial Liabilities '!Titulos_de_impressao</vt:lpstr>
      <vt:lpstr>'Other Administrative Expenses'!Titulos_de_impressao</vt:lpstr>
      <vt:lpstr>'PDD Movement'!Titulos_de_impressao</vt:lpstr>
      <vt:lpstr>'Performance Ratios'!Titulos_de_impressao</vt:lpstr>
      <vt:lpstr>'Personnel Expenses'!Titulos_de_impressao</vt:lpstr>
      <vt:lpstr>'Portfolio by Company Size (Bac)'!Titulos_de_impressao</vt:lpstr>
      <vt:lpstr>'Portfolio by Company Size (exp)'!Titulos_de_impressao</vt:lpstr>
      <vt:lpstr>'Portfolio by Type (Bacen)'!Titulos_de_impressao</vt:lpstr>
      <vt:lpstr>'Portfolio by Type (exp)'!Titulos_de_impressao</vt:lpstr>
      <vt:lpstr>'Provisions by Account'!Titulos_de_impressao</vt:lpstr>
      <vt:lpstr>Securities!Titulos_de_impressao</vt:lpstr>
      <vt:lpstr>'Securities by Issuer'!Titulos_de_impressao</vt:lpstr>
      <vt:lpstr>'Statement Income '!Titulos_de_impressao</vt:lpstr>
      <vt:lpstr>'Tax Credits'!Titulos_de_impressao</vt:lpstr>
      <vt:lpstr>'Technical Provisions by Product'!Titulos_de_impressao</vt:lpstr>
    </vt:vector>
  </TitlesOfParts>
  <Company>BANCO BRADESCO S.A.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CONTADORIA GERAL</dc:creator>
  <cp:lastModifiedBy>Edmar Carlos da Silva</cp:lastModifiedBy>
  <cp:lastPrinted>2018-02-16T13:52:38Z</cp:lastPrinted>
  <dcterms:created xsi:type="dcterms:W3CDTF">2008-09-10T12:29:55Z</dcterms:created>
  <dcterms:modified xsi:type="dcterms:W3CDTF">2018-02-16T21:04:30Z</dcterms:modified>
</cp:coreProperties>
</file>